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9120" activeTab="0"/>
  </bookViews>
  <sheets>
    <sheet name="１月" sheetId="1" r:id="rId1"/>
    <sheet name="２月" sheetId="2" r:id="rId2"/>
    <sheet name="３月" sheetId="3" r:id="rId3"/>
    <sheet name="４月" sheetId="4" r:id="rId4"/>
    <sheet name="５月" sheetId="5" r:id="rId5"/>
    <sheet name="６月" sheetId="6" r:id="rId6"/>
    <sheet name="７月" sheetId="7" r:id="rId7"/>
    <sheet name="８月" sheetId="8" r:id="rId8"/>
    <sheet name="９月" sheetId="9" r:id="rId9"/>
    <sheet name="１０月" sheetId="10" r:id="rId10"/>
    <sheet name="１１月" sheetId="11" r:id="rId11"/>
    <sheet name="１２月" sheetId="12" r:id="rId12"/>
    <sheet name="集計表" sheetId="13" r:id="rId13"/>
  </sheets>
  <definedNames/>
  <calcPr fullCalcOnLoad="1"/>
</workbook>
</file>

<file path=xl/comments1.xml><?xml version="1.0" encoding="utf-8"?>
<comments xmlns="http://schemas.openxmlformats.org/spreadsheetml/2006/main">
  <authors>
    <author>NEC-PCuser</author>
    <author>中尾　徹</author>
    <author>高石</author>
  </authors>
  <commentList>
    <comment ref="C5" authorId="0">
      <text>
        <r>
          <rPr>
            <sz val="9"/>
            <rFont val="ＭＳ Ｐゴシック"/>
            <family val="3"/>
          </rPr>
          <t xml:space="preserve">▼をクリックすると勘定科目が表示されますので選択すれば自動入力されて１ケ月の合計も自動計算されます。
</t>
        </r>
      </text>
    </comment>
    <comment ref="H5" authorId="0">
      <text>
        <r>
          <rPr>
            <sz val="9"/>
            <rFont val="ＭＳ Ｐゴシック"/>
            <family val="3"/>
          </rPr>
          <t xml:space="preserve">自動計算されますので、このセルには数字等を入力しないで下さい。
</t>
        </r>
      </text>
    </comment>
    <comment ref="H4" authorId="0">
      <text>
        <r>
          <rPr>
            <sz val="9"/>
            <rFont val="ＭＳ Ｐゴシック"/>
            <family val="3"/>
          </rPr>
          <t xml:space="preserve">このセルだけは前月の繰越金を入力してください。
</t>
        </r>
      </text>
    </comment>
    <comment ref="O4" authorId="0">
      <text>
        <r>
          <rPr>
            <sz val="9"/>
            <rFont val="ＭＳ Ｐゴシック"/>
            <family val="3"/>
          </rPr>
          <t xml:space="preserve">１日の収入が自動計算されますので入力はしないで下さい。
</t>
        </r>
      </text>
    </comment>
    <comment ref="P4" authorId="0">
      <text>
        <r>
          <rPr>
            <b/>
            <sz val="9"/>
            <rFont val="ＭＳ Ｐゴシック"/>
            <family val="3"/>
          </rPr>
          <t>１日の支出が自動計算されますので入力はしないで下さい。</t>
        </r>
      </text>
    </comment>
    <comment ref="J6" authorId="1">
      <text>
        <r>
          <rPr>
            <sz val="9"/>
            <rFont val="ＭＳ Ｐゴシック"/>
            <family val="3"/>
          </rPr>
          <t>　租税とは、事業税・固定資産税・自動車税・印紙税・納付消費税・自動車重量税・取得税等をいいます。
　但し、所得税・住民税・相続税・贈与税・各種加算税・延滞金などは経費にはなりません。
　公課とは、商工会議所の会費・納税協会・申告会会費・組合費等で経費となります。</t>
        </r>
      </text>
    </comment>
    <comment ref="J7" authorId="1">
      <text>
        <r>
          <rPr>
            <sz val="9"/>
            <rFont val="ＭＳ Ｐゴシック"/>
            <family val="3"/>
          </rPr>
          <t>商品などの発送のために要した包装材料費、人件費、運賃、などで自分が負担するもの。</t>
        </r>
      </text>
    </comment>
    <comment ref="J8" authorId="1">
      <text>
        <r>
          <rPr>
            <sz val="9"/>
            <rFont val="ＭＳ Ｐゴシック"/>
            <family val="3"/>
          </rPr>
          <t xml:space="preserve">　事業用に使用した水道、電気料、ガス代など。
　事業所と自宅が同じ場合は使用割合で計算して下さい。
</t>
        </r>
      </text>
    </comment>
    <comment ref="J9" authorId="1">
      <text>
        <r>
          <rPr>
            <sz val="9"/>
            <rFont val="ＭＳ Ｐゴシック"/>
            <family val="3"/>
          </rPr>
          <t xml:space="preserve">仕入れや販売のために要した交通費や宿泊代など。
</t>
        </r>
      </text>
    </comment>
    <comment ref="J10" authorId="1">
      <text>
        <r>
          <rPr>
            <sz val="9"/>
            <rFont val="ＭＳ Ｐゴシック"/>
            <family val="3"/>
          </rPr>
          <t xml:space="preserve">事業用のハガキ、切手代、電話料金など。
</t>
        </r>
      </text>
    </comment>
    <comment ref="J11" authorId="1">
      <text>
        <r>
          <rPr>
            <sz val="9"/>
            <rFont val="ＭＳ Ｐゴシック"/>
            <family val="3"/>
          </rPr>
          <t xml:space="preserve">新聞、雑誌の広告料、折込広告に要した印刷代や折込料、カレンダー作成費、大売出しの際の福引費用。
</t>
        </r>
      </text>
    </comment>
    <comment ref="J12" authorId="1">
      <text>
        <r>
          <rPr>
            <sz val="9"/>
            <rFont val="ＭＳ Ｐゴシック"/>
            <family val="3"/>
          </rPr>
          <t xml:space="preserve">事業用の茶菓子代、飲食費、贈答費用など。
</t>
        </r>
      </text>
    </comment>
    <comment ref="J13" authorId="1">
      <text>
        <r>
          <rPr>
            <sz val="9"/>
            <rFont val="ＭＳ Ｐゴシック"/>
            <family val="3"/>
          </rPr>
          <t xml:space="preserve">棚卸資産や事業用の資産に対する掛捨ての火災保険、事業用車両の損害保険料など。
</t>
        </r>
      </text>
    </comment>
    <comment ref="J14" authorId="1">
      <text>
        <r>
          <rPr>
            <sz val="9"/>
            <rFont val="ＭＳ Ｐゴシック"/>
            <family val="3"/>
          </rPr>
          <t xml:space="preserve">事業用の建物や機械器具などの修理に要した維持補修費用。
</t>
        </r>
      </text>
    </comment>
    <comment ref="J15" authorId="1">
      <text>
        <r>
          <rPr>
            <sz val="9"/>
            <rFont val="ＭＳ Ｐゴシック"/>
            <family val="3"/>
          </rPr>
          <t xml:space="preserve">　帳簿等の事務用品や包装紙、テープ、事業用車両のガソリン代、などの費用をいいます。
　器具備品のうち使用可能期間が１年未満のものや取得価額が１０万円未満の少額なもの。
</t>
        </r>
      </text>
    </comment>
    <comment ref="J16" authorId="1">
      <text>
        <r>
          <rPr>
            <sz val="9"/>
            <rFont val="ＭＳ Ｐゴシック"/>
            <family val="3"/>
          </rPr>
          <t xml:space="preserve">　従業員の慰安会費、医療費、保険料等で事業主が支払ったもの。
　保険料とは健康保険・厚生年金・雇用保険料や退職金共済制度に対する掛け金などで事業主が負担する費用
</t>
        </r>
      </text>
    </comment>
    <comment ref="J17" authorId="1">
      <text>
        <r>
          <rPr>
            <sz val="9"/>
            <rFont val="ＭＳ Ｐゴシック"/>
            <family val="3"/>
          </rPr>
          <t xml:space="preserve">　従業員に対する給料、賞与、現物支給した費用。
</t>
        </r>
      </text>
    </comment>
    <comment ref="J18" authorId="1">
      <text>
        <r>
          <rPr>
            <sz val="9"/>
            <rFont val="ＭＳ Ｐゴシック"/>
            <family val="3"/>
          </rPr>
          <t xml:space="preserve">事業用の借入金の支払い利子や受取手形の割引料。
</t>
        </r>
      </text>
    </comment>
    <comment ref="J19" authorId="1">
      <text>
        <r>
          <rPr>
            <sz val="9"/>
            <rFont val="ＭＳ Ｐゴシック"/>
            <family val="3"/>
          </rPr>
          <t xml:space="preserve">店舗、工場、倉庫、駐車場、等の地代や建物の賃借料。
</t>
        </r>
      </text>
    </comment>
    <comment ref="J20" authorId="1">
      <text>
        <r>
          <rPr>
            <sz val="9"/>
            <rFont val="ＭＳ Ｐゴシック"/>
            <family val="3"/>
          </rPr>
          <t xml:space="preserve">売掛金、受取手形、貸付金、前渡金などが取引先の倒産などにより回収不能になったもの 
</t>
        </r>
      </text>
    </comment>
    <comment ref="J21" authorId="1">
      <text>
        <r>
          <rPr>
            <sz val="9"/>
            <rFont val="ＭＳ Ｐゴシック"/>
            <family val="3"/>
          </rPr>
          <t xml:space="preserve">青色専従者給与に関する届出書」に記載した金額の範囲内で支給した金額 
</t>
        </r>
      </text>
    </comment>
    <comment ref="J23" authorId="1">
      <text>
        <r>
          <rPr>
            <sz val="9"/>
            <rFont val="ＭＳ Ｐゴシック"/>
            <family val="3"/>
          </rPr>
          <t xml:space="preserve">原材料などを支給して加工させた場合に支払う工賃。
</t>
        </r>
      </text>
    </comment>
    <comment ref="J24" authorId="0">
      <text>
        <r>
          <rPr>
            <sz val="9"/>
            <rFont val="ＭＳ Ｐゴシック"/>
            <family val="3"/>
          </rPr>
          <t>ここには良く使う勘定科目を自社専用の任意に設定して下さい。
例えば、購読料など
1月に入力するとすべてが変更されます。</t>
        </r>
      </text>
    </comment>
    <comment ref="J28" authorId="1">
      <text>
        <r>
          <rPr>
            <sz val="9"/>
            <rFont val="ＭＳ Ｐゴシック"/>
            <family val="3"/>
          </rPr>
          <t xml:space="preserve">以上の費用のほか、事業に直接必要な経費。
</t>
        </r>
      </text>
    </comment>
    <comment ref="M4" authorId="0">
      <text>
        <r>
          <rPr>
            <sz val="9"/>
            <rFont val="ＭＳ Ｐゴシック"/>
            <family val="3"/>
          </rPr>
          <t xml:space="preserve">画面表示では何月何日となっていますが実際の関数セルでは何年のとなっていますので確認して下さい。
</t>
        </r>
      </text>
    </comment>
    <comment ref="B5" authorId="0">
      <text>
        <r>
          <rPr>
            <sz val="9"/>
            <rFont val="ＭＳ Ｐゴシック"/>
            <family val="3"/>
          </rPr>
          <t xml:space="preserve">日付けは必ず入力して下さい。
日付けを基にその日の入出金を計算しています。
</t>
        </r>
      </text>
    </comment>
    <comment ref="D5" authorId="2">
      <text>
        <r>
          <rPr>
            <sz val="9"/>
            <rFont val="ＭＳ Ｐゴシック"/>
            <family val="3"/>
          </rPr>
          <t>▼をクリックするとＪ欄下の枡の部分に登録した取引先が表示されます。</t>
        </r>
      </text>
    </comment>
  </commentList>
</comments>
</file>

<file path=xl/comments10.xml><?xml version="1.0" encoding="utf-8"?>
<comments xmlns="http://schemas.openxmlformats.org/spreadsheetml/2006/main">
  <authors>
    <author>NEC-PCuser</author>
    <author>中尾　徹</author>
    <author>高石</author>
  </authors>
  <commentList>
    <comment ref="H4" authorId="0">
      <text>
        <r>
          <rPr>
            <sz val="9"/>
            <rFont val="ＭＳ Ｐゴシック"/>
            <family val="3"/>
          </rPr>
          <t xml:space="preserve">このセルだけは前月の繰越金を入力してください。
</t>
        </r>
      </text>
    </comment>
    <comment ref="O4" authorId="0">
      <text>
        <r>
          <rPr>
            <sz val="9"/>
            <rFont val="ＭＳ Ｐゴシック"/>
            <family val="3"/>
          </rPr>
          <t xml:space="preserve">１日の収入が自動計算されますので入力はしないで下さい。
</t>
        </r>
      </text>
    </comment>
    <comment ref="P4" authorId="0">
      <text>
        <r>
          <rPr>
            <b/>
            <sz val="9"/>
            <rFont val="ＭＳ Ｐゴシック"/>
            <family val="3"/>
          </rPr>
          <t>１日の支出が自動計算されますので入力はしないで下さい。</t>
        </r>
      </text>
    </comment>
    <comment ref="C5" authorId="0">
      <text>
        <r>
          <rPr>
            <sz val="9"/>
            <rFont val="ＭＳ Ｐゴシック"/>
            <family val="3"/>
          </rPr>
          <t xml:space="preserve">▼をクリックすると勘定科目が表示されますので選択すれば自動入力されて１ケ月の合計も自動計算されます。
</t>
        </r>
      </text>
    </comment>
    <comment ref="H5" authorId="0">
      <text>
        <r>
          <rPr>
            <sz val="9"/>
            <rFont val="ＭＳ Ｐゴシック"/>
            <family val="3"/>
          </rPr>
          <t xml:space="preserve">自動計算されますので、このセルには数字等を入力しないで下さい。
</t>
        </r>
      </text>
    </comment>
    <comment ref="J6" authorId="1">
      <text>
        <r>
          <rPr>
            <sz val="9"/>
            <rFont val="ＭＳ Ｐゴシック"/>
            <family val="3"/>
          </rPr>
          <t>　租税とは、事業税・固定資産税・自動車税・印紙税・納付消費税・自動車重量税・取得税等をいいます。
　但し、所得税・住民税・相続税・贈与税・各種加算税・延滞金などは経費にはなりません。
　公課とは、商工会議所の会費・納税協会・申告会会費・組合費等で経費となります。</t>
        </r>
      </text>
    </comment>
    <comment ref="J8" authorId="1">
      <text>
        <r>
          <rPr>
            <sz val="9"/>
            <rFont val="ＭＳ Ｐゴシック"/>
            <family val="3"/>
          </rPr>
          <t xml:space="preserve">　事業用に使用した水道、電気料、ガス代など。
　事業所と自宅が同じ場合は使用割合で計算して下さい。
</t>
        </r>
      </text>
    </comment>
    <comment ref="J9" authorId="1">
      <text>
        <r>
          <rPr>
            <sz val="9"/>
            <rFont val="ＭＳ Ｐゴシック"/>
            <family val="3"/>
          </rPr>
          <t xml:space="preserve">仕入れや販売のために要した交通費や宿泊代など。
</t>
        </r>
      </text>
    </comment>
    <comment ref="J10" authorId="1">
      <text>
        <r>
          <rPr>
            <sz val="9"/>
            <rFont val="ＭＳ Ｐゴシック"/>
            <family val="3"/>
          </rPr>
          <t xml:space="preserve">事業用のハガキ、切手代、電話料金など。
</t>
        </r>
      </text>
    </comment>
    <comment ref="J11" authorId="1">
      <text>
        <r>
          <rPr>
            <sz val="9"/>
            <rFont val="ＭＳ Ｐゴシック"/>
            <family val="3"/>
          </rPr>
          <t xml:space="preserve">新聞、雑誌の広告料、折込広告に要した印刷代や折込料、カレンダー作成費、大売出しの際の福引費用。
</t>
        </r>
      </text>
    </comment>
    <comment ref="J12" authorId="1">
      <text>
        <r>
          <rPr>
            <sz val="9"/>
            <rFont val="ＭＳ Ｐゴシック"/>
            <family val="3"/>
          </rPr>
          <t xml:space="preserve">事業用の茶菓子代、飲食費、贈答費用など。
</t>
        </r>
      </text>
    </comment>
    <comment ref="J13" authorId="1">
      <text>
        <r>
          <rPr>
            <sz val="9"/>
            <rFont val="ＭＳ Ｐゴシック"/>
            <family val="3"/>
          </rPr>
          <t xml:space="preserve">棚卸資産や事業用の資産に対する掛捨ての火災保険、事業用車両の損害保険料など。
</t>
        </r>
      </text>
    </comment>
    <comment ref="J14" authorId="1">
      <text>
        <r>
          <rPr>
            <sz val="9"/>
            <rFont val="ＭＳ Ｐゴシック"/>
            <family val="3"/>
          </rPr>
          <t xml:space="preserve">事業用の建物や機械器具などの修理に要した維持補修費用。
</t>
        </r>
      </text>
    </comment>
    <comment ref="J15" authorId="1">
      <text>
        <r>
          <rPr>
            <sz val="9"/>
            <rFont val="ＭＳ Ｐゴシック"/>
            <family val="3"/>
          </rPr>
          <t xml:space="preserve">　帳簿等の事務用品や包装紙、テープ、事業用車両のガソリン代、などの費用をいいます。
　器具備品のうち使用可能期間が１年未満のものや取得価額が１０万円未満の少額なもの。
</t>
        </r>
      </text>
    </comment>
    <comment ref="J16" authorId="1">
      <text>
        <r>
          <rPr>
            <sz val="9"/>
            <rFont val="ＭＳ Ｐゴシック"/>
            <family val="3"/>
          </rPr>
          <t xml:space="preserve">　従業員の慰安会費、医療費、保険料等で事業主が支払ったもの。
　保険料とは健康保険・厚生年金・雇用保険料や退職金共済制度に対する掛け金などで事業主が負担する費用
</t>
        </r>
      </text>
    </comment>
    <comment ref="J17" authorId="1">
      <text>
        <r>
          <rPr>
            <sz val="9"/>
            <rFont val="ＭＳ Ｐゴシック"/>
            <family val="3"/>
          </rPr>
          <t xml:space="preserve">　従業員に対する給料、賞与、現物支給した費用。
</t>
        </r>
      </text>
    </comment>
    <comment ref="J18" authorId="1">
      <text>
        <r>
          <rPr>
            <sz val="9"/>
            <rFont val="ＭＳ Ｐゴシック"/>
            <family val="3"/>
          </rPr>
          <t xml:space="preserve">事業用の借入金の支払い利子や受取手形の割引料。
</t>
        </r>
      </text>
    </comment>
    <comment ref="J19" authorId="1">
      <text>
        <r>
          <rPr>
            <sz val="9"/>
            <rFont val="ＭＳ Ｐゴシック"/>
            <family val="3"/>
          </rPr>
          <t xml:space="preserve">店舗、工場、倉庫、駐車場、等の地代や建物の賃借料。
</t>
        </r>
      </text>
    </comment>
    <comment ref="J20" authorId="1">
      <text>
        <r>
          <rPr>
            <sz val="9"/>
            <rFont val="ＭＳ Ｐゴシック"/>
            <family val="3"/>
          </rPr>
          <t xml:space="preserve">売掛金、受取手形、貸付金、前渡金などが取引先の倒産などにより回収不能になったもの 
</t>
        </r>
      </text>
    </comment>
    <comment ref="J21" authorId="1">
      <text>
        <r>
          <rPr>
            <sz val="9"/>
            <rFont val="ＭＳ Ｐゴシック"/>
            <family val="3"/>
          </rPr>
          <t xml:space="preserve">青色専従者給与に関する届出書」に記載した金額の範囲内で支給した金額 
</t>
        </r>
      </text>
    </comment>
    <comment ref="J23" authorId="1">
      <text>
        <r>
          <rPr>
            <sz val="9"/>
            <rFont val="ＭＳ Ｐゴシック"/>
            <family val="3"/>
          </rPr>
          <t xml:space="preserve">原材料などを支給して加工させた場合に支払う工賃。
</t>
        </r>
      </text>
    </comment>
    <comment ref="J28" authorId="1">
      <text>
        <r>
          <rPr>
            <sz val="9"/>
            <rFont val="ＭＳ Ｐゴシック"/>
            <family val="3"/>
          </rPr>
          <t xml:space="preserve">以上の費用のほか、事業に直接必要な経費。
</t>
        </r>
      </text>
    </comment>
    <comment ref="D5" authorId="2">
      <text>
        <r>
          <rPr>
            <sz val="9"/>
            <rFont val="ＭＳ Ｐゴシック"/>
            <family val="3"/>
          </rPr>
          <t>▼をクリックするとＪ欄下の枡の部分に登録した取引先が表示されます。</t>
        </r>
      </text>
    </comment>
    <comment ref="J7" authorId="1">
      <text>
        <r>
          <rPr>
            <sz val="9"/>
            <rFont val="ＭＳ Ｐゴシック"/>
            <family val="3"/>
          </rPr>
          <t>商品などの発送のために要した包装材料費、人件費、運賃、などで自分が負担するもの。</t>
        </r>
      </text>
    </comment>
    <comment ref="J24" authorId="0">
      <text>
        <r>
          <rPr>
            <sz val="9"/>
            <rFont val="ＭＳ Ｐゴシック"/>
            <family val="3"/>
          </rPr>
          <t>ここには良く使う勘定科目を自社専用の任意に設定して下さい。
例えば、購読料など
1月に入力するとすべてが変更されます。</t>
        </r>
      </text>
    </comment>
  </commentList>
</comments>
</file>

<file path=xl/comments11.xml><?xml version="1.0" encoding="utf-8"?>
<comments xmlns="http://schemas.openxmlformats.org/spreadsheetml/2006/main">
  <authors>
    <author>NEC-PCuser</author>
    <author>中尾　徹</author>
    <author>高石</author>
  </authors>
  <commentList>
    <comment ref="H4" authorId="0">
      <text>
        <r>
          <rPr>
            <sz val="9"/>
            <rFont val="ＭＳ Ｐゴシック"/>
            <family val="3"/>
          </rPr>
          <t xml:space="preserve">このセルだけは前月の繰越金を入力してください。
</t>
        </r>
      </text>
    </comment>
    <comment ref="O4" authorId="0">
      <text>
        <r>
          <rPr>
            <sz val="9"/>
            <rFont val="ＭＳ Ｐゴシック"/>
            <family val="3"/>
          </rPr>
          <t xml:space="preserve">１日の収入が自動計算されますので入力はしないで下さい。
</t>
        </r>
      </text>
    </comment>
    <comment ref="P4" authorId="0">
      <text>
        <r>
          <rPr>
            <b/>
            <sz val="9"/>
            <rFont val="ＭＳ Ｐゴシック"/>
            <family val="3"/>
          </rPr>
          <t>１日の支出が自動計算されますので入力はしないで下さい。</t>
        </r>
      </text>
    </comment>
    <comment ref="C5" authorId="0">
      <text>
        <r>
          <rPr>
            <sz val="9"/>
            <rFont val="ＭＳ Ｐゴシック"/>
            <family val="3"/>
          </rPr>
          <t xml:space="preserve">▼をクリックすると勘定科目が表示されますので選択すれば自動入力されて１ケ月の合計も自動計算されます。
</t>
        </r>
      </text>
    </comment>
    <comment ref="H5" authorId="0">
      <text>
        <r>
          <rPr>
            <sz val="9"/>
            <rFont val="ＭＳ Ｐゴシック"/>
            <family val="3"/>
          </rPr>
          <t xml:space="preserve">自動計算されますので、このセルには数字等を入力しないで下さい。
</t>
        </r>
      </text>
    </comment>
    <comment ref="J6" authorId="1">
      <text>
        <r>
          <rPr>
            <sz val="9"/>
            <rFont val="ＭＳ Ｐゴシック"/>
            <family val="3"/>
          </rPr>
          <t>　租税とは、事業税・固定資産税・自動車税・印紙税・納付消費税・自動車重量税・取得税等をいいます。
　但し、所得税・住民税・相続税・贈与税・各種加算税・延滞金などは経費にはなりません。
　公課とは、商工会議所の会費・納税協会・申告会会費・組合費等で経費となります。</t>
        </r>
      </text>
    </comment>
    <comment ref="J8" authorId="1">
      <text>
        <r>
          <rPr>
            <sz val="9"/>
            <rFont val="ＭＳ Ｐゴシック"/>
            <family val="3"/>
          </rPr>
          <t xml:space="preserve">　事業用に使用した水道、電気料、ガス代など。
　事業所と自宅が同じ場合は使用割合で計算して下さい。
</t>
        </r>
      </text>
    </comment>
    <comment ref="J9" authorId="1">
      <text>
        <r>
          <rPr>
            <sz val="9"/>
            <rFont val="ＭＳ Ｐゴシック"/>
            <family val="3"/>
          </rPr>
          <t xml:space="preserve">仕入れや販売のために要した交通費や宿泊代など。
</t>
        </r>
      </text>
    </comment>
    <comment ref="J10" authorId="1">
      <text>
        <r>
          <rPr>
            <sz val="9"/>
            <rFont val="ＭＳ Ｐゴシック"/>
            <family val="3"/>
          </rPr>
          <t xml:space="preserve">事業用のハガキ、切手代、電話料金など。
</t>
        </r>
      </text>
    </comment>
    <comment ref="J11" authorId="1">
      <text>
        <r>
          <rPr>
            <sz val="9"/>
            <rFont val="ＭＳ Ｐゴシック"/>
            <family val="3"/>
          </rPr>
          <t xml:space="preserve">新聞、雑誌の広告料、折込広告に要した印刷代や折込料、カレンダー作成費、大売出しの際の福引費用。
</t>
        </r>
      </text>
    </comment>
    <comment ref="J12" authorId="1">
      <text>
        <r>
          <rPr>
            <sz val="9"/>
            <rFont val="ＭＳ Ｐゴシック"/>
            <family val="3"/>
          </rPr>
          <t xml:space="preserve">事業用の茶菓子代、飲食費、贈答費用など。
</t>
        </r>
      </text>
    </comment>
    <comment ref="J13" authorId="1">
      <text>
        <r>
          <rPr>
            <sz val="9"/>
            <rFont val="ＭＳ Ｐゴシック"/>
            <family val="3"/>
          </rPr>
          <t xml:space="preserve">棚卸資産や事業用の資産に対する掛捨ての火災保険、事業用車両の損害保険料など。
</t>
        </r>
      </text>
    </comment>
    <comment ref="J14" authorId="1">
      <text>
        <r>
          <rPr>
            <sz val="9"/>
            <rFont val="ＭＳ Ｐゴシック"/>
            <family val="3"/>
          </rPr>
          <t xml:space="preserve">事業用の建物や機械器具などの修理に要した維持補修費用。
</t>
        </r>
      </text>
    </comment>
    <comment ref="J15" authorId="1">
      <text>
        <r>
          <rPr>
            <sz val="9"/>
            <rFont val="ＭＳ Ｐゴシック"/>
            <family val="3"/>
          </rPr>
          <t xml:space="preserve">　帳簿等の事務用品や包装紙、テープ、事業用車両のガソリン代、などの費用をいいます。
　器具備品のうち使用可能期間が１年未満のものや取得価額が１０万円未満の少額なもの。
</t>
        </r>
      </text>
    </comment>
    <comment ref="J16" authorId="1">
      <text>
        <r>
          <rPr>
            <sz val="9"/>
            <rFont val="ＭＳ Ｐゴシック"/>
            <family val="3"/>
          </rPr>
          <t xml:space="preserve">　従業員の慰安会費、医療費、保険料等で事業主が支払ったもの。
　保険料とは健康保険・厚生年金・雇用保険料や退職金共済制度に対する掛け金などで事業主が負担する費用
</t>
        </r>
      </text>
    </comment>
    <comment ref="J17" authorId="1">
      <text>
        <r>
          <rPr>
            <sz val="9"/>
            <rFont val="ＭＳ Ｐゴシック"/>
            <family val="3"/>
          </rPr>
          <t xml:space="preserve">　従業員に対する給料、賞与、現物支給した費用。
</t>
        </r>
      </text>
    </comment>
    <comment ref="J18" authorId="1">
      <text>
        <r>
          <rPr>
            <sz val="9"/>
            <rFont val="ＭＳ Ｐゴシック"/>
            <family val="3"/>
          </rPr>
          <t xml:space="preserve">事業用の借入金の支払い利子や受取手形の割引料。
</t>
        </r>
      </text>
    </comment>
    <comment ref="J19" authorId="1">
      <text>
        <r>
          <rPr>
            <sz val="9"/>
            <rFont val="ＭＳ Ｐゴシック"/>
            <family val="3"/>
          </rPr>
          <t xml:space="preserve">店舗、工場、倉庫、駐車場、等の地代や建物の賃借料。
</t>
        </r>
      </text>
    </comment>
    <comment ref="J20" authorId="1">
      <text>
        <r>
          <rPr>
            <sz val="9"/>
            <rFont val="ＭＳ Ｐゴシック"/>
            <family val="3"/>
          </rPr>
          <t xml:space="preserve">売掛金、受取手形、貸付金、前渡金などが取引先の倒産などにより回収不能になったもの 
</t>
        </r>
      </text>
    </comment>
    <comment ref="J21" authorId="1">
      <text>
        <r>
          <rPr>
            <sz val="9"/>
            <rFont val="ＭＳ Ｐゴシック"/>
            <family val="3"/>
          </rPr>
          <t xml:space="preserve">青色専従者給与に関する届出書」に記載した金額の範囲内で支給した金額 
</t>
        </r>
      </text>
    </comment>
    <comment ref="J23" authorId="1">
      <text>
        <r>
          <rPr>
            <sz val="9"/>
            <rFont val="ＭＳ Ｐゴシック"/>
            <family val="3"/>
          </rPr>
          <t xml:space="preserve">原材料などを支給して加工させた場合に支払う工賃。
</t>
        </r>
      </text>
    </comment>
    <comment ref="J28" authorId="1">
      <text>
        <r>
          <rPr>
            <sz val="9"/>
            <rFont val="ＭＳ Ｐゴシック"/>
            <family val="3"/>
          </rPr>
          <t xml:space="preserve">以上の費用のほか、事業に直接必要な経費。
</t>
        </r>
      </text>
    </comment>
    <comment ref="D5" authorId="2">
      <text>
        <r>
          <rPr>
            <sz val="9"/>
            <rFont val="ＭＳ Ｐゴシック"/>
            <family val="3"/>
          </rPr>
          <t>▼をクリックするとＪ欄下の枡の部分に登録した取引先が表示されます。</t>
        </r>
      </text>
    </comment>
    <comment ref="J7" authorId="1">
      <text>
        <r>
          <rPr>
            <sz val="9"/>
            <rFont val="ＭＳ Ｐゴシック"/>
            <family val="3"/>
          </rPr>
          <t>商品などの発送のために要した包装材料費、人件費、運賃、などで自分が負担するもの。</t>
        </r>
      </text>
    </comment>
    <comment ref="J24" authorId="0">
      <text>
        <r>
          <rPr>
            <sz val="9"/>
            <rFont val="ＭＳ Ｐゴシック"/>
            <family val="3"/>
          </rPr>
          <t>ここには良く使う勘定科目を自社専用の任意に設定して下さい。
例えば、購読料など
1月に入力するとすべてが変更されます。</t>
        </r>
      </text>
    </comment>
  </commentList>
</comments>
</file>

<file path=xl/comments12.xml><?xml version="1.0" encoding="utf-8"?>
<comments xmlns="http://schemas.openxmlformats.org/spreadsheetml/2006/main">
  <authors>
    <author>NEC-PCuser</author>
    <author>中尾　徹</author>
    <author>高石</author>
  </authors>
  <commentList>
    <comment ref="H4" authorId="0">
      <text>
        <r>
          <rPr>
            <sz val="9"/>
            <rFont val="ＭＳ Ｐゴシック"/>
            <family val="3"/>
          </rPr>
          <t xml:space="preserve">このセルだけは前月の繰越金を入力してください。
</t>
        </r>
      </text>
    </comment>
    <comment ref="O4" authorId="0">
      <text>
        <r>
          <rPr>
            <sz val="9"/>
            <rFont val="ＭＳ Ｐゴシック"/>
            <family val="3"/>
          </rPr>
          <t xml:space="preserve">１日の収入が自動計算されますので入力はしないで下さい。
</t>
        </r>
      </text>
    </comment>
    <comment ref="P4" authorId="0">
      <text>
        <r>
          <rPr>
            <b/>
            <sz val="9"/>
            <rFont val="ＭＳ Ｐゴシック"/>
            <family val="3"/>
          </rPr>
          <t>１日の支出が自動計算されますので入力はしないで下さい。</t>
        </r>
      </text>
    </comment>
    <comment ref="C5" authorId="0">
      <text>
        <r>
          <rPr>
            <sz val="9"/>
            <rFont val="ＭＳ Ｐゴシック"/>
            <family val="3"/>
          </rPr>
          <t xml:space="preserve">▼をクリックすると勘定科目が表示されますので選択すれば自動入力されて１ケ月の合計も自動計算されます。
</t>
        </r>
      </text>
    </comment>
    <comment ref="H5" authorId="0">
      <text>
        <r>
          <rPr>
            <sz val="9"/>
            <rFont val="ＭＳ Ｐゴシック"/>
            <family val="3"/>
          </rPr>
          <t xml:space="preserve">自動計算されますので、このセルには数字等を入力しないで下さい。
</t>
        </r>
      </text>
    </comment>
    <comment ref="J6" authorId="1">
      <text>
        <r>
          <rPr>
            <sz val="9"/>
            <rFont val="ＭＳ Ｐゴシック"/>
            <family val="3"/>
          </rPr>
          <t>　租税とは、事業税・固定資産税・自動車税・印紙税・納付消費税・自動車重量税・取得税等をいいます。
　但し、所得税・住民税・相続税・贈与税・各種加算税・延滞金などは経費にはなりません。
　公課とは、商工会議所の会費・納税協会・申告会会費・組合費等で経費となります。</t>
        </r>
      </text>
    </comment>
    <comment ref="J8" authorId="1">
      <text>
        <r>
          <rPr>
            <sz val="9"/>
            <rFont val="ＭＳ Ｐゴシック"/>
            <family val="3"/>
          </rPr>
          <t xml:space="preserve">　事業用に使用した水道、電気料、ガス代など。
　事業所と自宅が同じ場合は使用割合で計算して下さい。
</t>
        </r>
      </text>
    </comment>
    <comment ref="J9" authorId="1">
      <text>
        <r>
          <rPr>
            <sz val="9"/>
            <rFont val="ＭＳ Ｐゴシック"/>
            <family val="3"/>
          </rPr>
          <t xml:space="preserve">仕入れや販売のために要した交通費や宿泊代など。
</t>
        </r>
      </text>
    </comment>
    <comment ref="J10" authorId="1">
      <text>
        <r>
          <rPr>
            <sz val="9"/>
            <rFont val="ＭＳ Ｐゴシック"/>
            <family val="3"/>
          </rPr>
          <t xml:space="preserve">事業用のハガキ、切手代、電話料金など。
</t>
        </r>
      </text>
    </comment>
    <comment ref="J11" authorId="1">
      <text>
        <r>
          <rPr>
            <sz val="9"/>
            <rFont val="ＭＳ Ｐゴシック"/>
            <family val="3"/>
          </rPr>
          <t xml:space="preserve">新聞、雑誌の広告料、折込広告に要した印刷代や折込料、カレンダー作成費、大売出しの際の福引費用。
</t>
        </r>
      </text>
    </comment>
    <comment ref="J12" authorId="1">
      <text>
        <r>
          <rPr>
            <sz val="9"/>
            <rFont val="ＭＳ Ｐゴシック"/>
            <family val="3"/>
          </rPr>
          <t xml:space="preserve">事業用の茶菓子代、飲食費、贈答費用など。
</t>
        </r>
      </text>
    </comment>
    <comment ref="J13" authorId="1">
      <text>
        <r>
          <rPr>
            <sz val="9"/>
            <rFont val="ＭＳ Ｐゴシック"/>
            <family val="3"/>
          </rPr>
          <t xml:space="preserve">棚卸資産や事業用の資産に対する掛捨ての火災保険、事業用車両の損害保険料など。
</t>
        </r>
      </text>
    </comment>
    <comment ref="J14" authorId="1">
      <text>
        <r>
          <rPr>
            <sz val="9"/>
            <rFont val="ＭＳ Ｐゴシック"/>
            <family val="3"/>
          </rPr>
          <t xml:space="preserve">事業用の建物や機械器具などの修理に要した維持補修費用。
</t>
        </r>
      </text>
    </comment>
    <comment ref="J15" authorId="1">
      <text>
        <r>
          <rPr>
            <sz val="9"/>
            <rFont val="ＭＳ Ｐゴシック"/>
            <family val="3"/>
          </rPr>
          <t xml:space="preserve">　帳簿等の事務用品や包装紙、テープ、事業用車両のガソリン代、などの費用をいいます。
　器具備品のうち使用可能期間が１年未満のものや取得価額が１０万円未満の少額なもの。
</t>
        </r>
      </text>
    </comment>
    <comment ref="J16" authorId="1">
      <text>
        <r>
          <rPr>
            <sz val="9"/>
            <rFont val="ＭＳ Ｐゴシック"/>
            <family val="3"/>
          </rPr>
          <t xml:space="preserve">　従業員の慰安会費、医療費、保険料等で事業主が支払ったもの。
　保険料とは健康保険・厚生年金・雇用保険料や退職金共済制度に対する掛け金などで事業主が負担する費用
</t>
        </r>
      </text>
    </comment>
    <comment ref="J17" authorId="1">
      <text>
        <r>
          <rPr>
            <sz val="9"/>
            <rFont val="ＭＳ Ｐゴシック"/>
            <family val="3"/>
          </rPr>
          <t xml:space="preserve">　従業員に対する給料、賞与、現物支給した費用。
</t>
        </r>
      </text>
    </comment>
    <comment ref="J18" authorId="1">
      <text>
        <r>
          <rPr>
            <sz val="9"/>
            <rFont val="ＭＳ Ｐゴシック"/>
            <family val="3"/>
          </rPr>
          <t xml:space="preserve">事業用の借入金の支払い利子や受取手形の割引料。
</t>
        </r>
      </text>
    </comment>
    <comment ref="J19" authorId="1">
      <text>
        <r>
          <rPr>
            <sz val="9"/>
            <rFont val="ＭＳ Ｐゴシック"/>
            <family val="3"/>
          </rPr>
          <t xml:space="preserve">店舗、工場、倉庫、駐車場、等の地代や建物の賃借料。
</t>
        </r>
      </text>
    </comment>
    <comment ref="J20" authorId="1">
      <text>
        <r>
          <rPr>
            <sz val="9"/>
            <rFont val="ＭＳ Ｐゴシック"/>
            <family val="3"/>
          </rPr>
          <t xml:space="preserve">売掛金、受取手形、貸付金、前渡金などが取引先の倒産などにより回収不能になったもの 
</t>
        </r>
      </text>
    </comment>
    <comment ref="J21" authorId="1">
      <text>
        <r>
          <rPr>
            <sz val="9"/>
            <rFont val="ＭＳ Ｐゴシック"/>
            <family val="3"/>
          </rPr>
          <t xml:space="preserve">青色専従者給与に関する届出書」に記載した金額の範囲内で支給した金額 
</t>
        </r>
      </text>
    </comment>
    <comment ref="J23" authorId="1">
      <text>
        <r>
          <rPr>
            <sz val="9"/>
            <rFont val="ＭＳ Ｐゴシック"/>
            <family val="3"/>
          </rPr>
          <t xml:space="preserve">原材料などを支給して加工させた場合に支払う工賃。
</t>
        </r>
      </text>
    </comment>
    <comment ref="J28" authorId="1">
      <text>
        <r>
          <rPr>
            <sz val="9"/>
            <rFont val="ＭＳ Ｐゴシック"/>
            <family val="3"/>
          </rPr>
          <t xml:space="preserve">以上の費用のほか、事業に直接必要な経費。
</t>
        </r>
      </text>
    </comment>
    <comment ref="D5" authorId="2">
      <text>
        <r>
          <rPr>
            <sz val="9"/>
            <rFont val="ＭＳ Ｐゴシック"/>
            <family val="3"/>
          </rPr>
          <t>▼をクリックするとＪ欄下の枡の部分に登録した取引先が表示されます。</t>
        </r>
      </text>
    </comment>
    <comment ref="J7" authorId="1">
      <text>
        <r>
          <rPr>
            <sz val="9"/>
            <rFont val="ＭＳ Ｐゴシック"/>
            <family val="3"/>
          </rPr>
          <t>商品などの発送のために要した包装材料費、人件費、運賃、などで自分が負担するもの。</t>
        </r>
      </text>
    </comment>
    <comment ref="J24" authorId="0">
      <text>
        <r>
          <rPr>
            <sz val="9"/>
            <rFont val="ＭＳ Ｐゴシック"/>
            <family val="3"/>
          </rPr>
          <t>ここには良く使う勘定科目を自社専用の任意に設定して下さい。
例えば、購読料など
1月に入力するとすべてが変更されます。</t>
        </r>
      </text>
    </comment>
  </commentList>
</comments>
</file>

<file path=xl/comments13.xml><?xml version="1.0" encoding="utf-8"?>
<comments xmlns="http://schemas.openxmlformats.org/spreadsheetml/2006/main">
  <authors>
    <author>中尾　徹</author>
    <author>NEC-PCuser</author>
  </authors>
  <commentList>
    <comment ref="B6" authorId="0">
      <text>
        <r>
          <rPr>
            <sz val="9"/>
            <rFont val="ＭＳ Ｐゴシック"/>
            <family val="3"/>
          </rPr>
          <t>　租税とは、事業税・固定資産税・自動車税・印紙税・納付消費税・自動車重量税・取得税等をいいます。
　但し、所得税・住民税・相続税・贈与税・各種加算税・延滞金などは経費にはなりません。
　公課とは、商工会議所の会費・納税協会・申告会会費・組合費等で経費となります。</t>
        </r>
      </text>
    </comment>
    <comment ref="B7" authorId="0">
      <text>
        <r>
          <rPr>
            <sz val="9"/>
            <rFont val="ＭＳ Ｐゴシック"/>
            <family val="3"/>
          </rPr>
          <t>商品などの発送のために要した包装材料費、人件費、運賃、などで自分が負担するもの。</t>
        </r>
      </text>
    </comment>
    <comment ref="B8" authorId="0">
      <text>
        <r>
          <rPr>
            <sz val="9"/>
            <rFont val="ＭＳ Ｐゴシック"/>
            <family val="3"/>
          </rPr>
          <t xml:space="preserve">　事業用に使用した水道、電気料、ガス代など。
　事業所と自宅が同じ場合は使用割合で計算して下さい。
</t>
        </r>
      </text>
    </comment>
    <comment ref="B9" authorId="0">
      <text>
        <r>
          <rPr>
            <sz val="9"/>
            <rFont val="ＭＳ Ｐゴシック"/>
            <family val="3"/>
          </rPr>
          <t xml:space="preserve">仕入れや販売のために要した交通費や宿泊代など。
</t>
        </r>
      </text>
    </comment>
    <comment ref="B10" authorId="0">
      <text>
        <r>
          <rPr>
            <sz val="9"/>
            <rFont val="ＭＳ Ｐゴシック"/>
            <family val="3"/>
          </rPr>
          <t xml:space="preserve">事業用のハガキ、切手代、電話料金など。
</t>
        </r>
      </text>
    </comment>
    <comment ref="B11" authorId="0">
      <text>
        <r>
          <rPr>
            <sz val="9"/>
            <rFont val="ＭＳ Ｐゴシック"/>
            <family val="3"/>
          </rPr>
          <t xml:space="preserve">新聞、雑誌の広告料、折込広告に要した印刷代や折込料、カレンダー作成費、大売出しの際の福引費用。
</t>
        </r>
      </text>
    </comment>
    <comment ref="B12" authorId="0">
      <text>
        <r>
          <rPr>
            <sz val="9"/>
            <rFont val="ＭＳ Ｐゴシック"/>
            <family val="3"/>
          </rPr>
          <t xml:space="preserve">事業用の茶菓子代、飲食費、贈答費用など。
</t>
        </r>
      </text>
    </comment>
    <comment ref="B13" authorId="0">
      <text>
        <r>
          <rPr>
            <sz val="9"/>
            <rFont val="ＭＳ Ｐゴシック"/>
            <family val="3"/>
          </rPr>
          <t xml:space="preserve">棚卸資産や事業用の資産に対する掛捨ての火災保険、事業用車両の損害保険料など。
</t>
        </r>
      </text>
    </comment>
    <comment ref="B14" authorId="0">
      <text>
        <r>
          <rPr>
            <sz val="9"/>
            <rFont val="ＭＳ Ｐゴシック"/>
            <family val="3"/>
          </rPr>
          <t xml:space="preserve">事業用の建物や機械器具などの修理に要した維持補修費用。
</t>
        </r>
      </text>
    </comment>
    <comment ref="B15" authorId="0">
      <text>
        <r>
          <rPr>
            <sz val="9"/>
            <rFont val="ＭＳ Ｐゴシック"/>
            <family val="3"/>
          </rPr>
          <t xml:space="preserve">　帳簿等の事務用品や包装紙、テープ、事業用車両のガソリン代、などの費用をいいます。
　器具備品のうち使用可能期間が１年未満のものや取得価額が１０万円未満の少額なもの。
</t>
        </r>
      </text>
    </comment>
    <comment ref="B16" authorId="0">
      <text>
        <r>
          <rPr>
            <sz val="9"/>
            <rFont val="ＭＳ Ｐゴシック"/>
            <family val="3"/>
          </rPr>
          <t xml:space="preserve">　従業員の慰安会費、医療費、保険料等で事業主が支払ったもの。
　保険料とは健康保険・厚生年金・雇用保険料や退職金共済制度に対する掛け金などで事業主が負担する費用
</t>
        </r>
      </text>
    </comment>
    <comment ref="B17" authorId="0">
      <text>
        <r>
          <rPr>
            <sz val="9"/>
            <rFont val="ＭＳ Ｐゴシック"/>
            <family val="3"/>
          </rPr>
          <t xml:space="preserve">　従業員に対する給料、賞与、現物支給した費用。
</t>
        </r>
      </text>
    </comment>
    <comment ref="B18" authorId="0">
      <text>
        <r>
          <rPr>
            <sz val="9"/>
            <rFont val="ＭＳ Ｐゴシック"/>
            <family val="3"/>
          </rPr>
          <t xml:space="preserve">事業用の借入金の支払い利子や受取手形の割引料。
</t>
        </r>
      </text>
    </comment>
    <comment ref="B19" authorId="0">
      <text>
        <r>
          <rPr>
            <sz val="9"/>
            <rFont val="ＭＳ Ｐゴシック"/>
            <family val="3"/>
          </rPr>
          <t xml:space="preserve">店舗、工場、倉庫、駐車場、等の地代や建物の賃借料。
</t>
        </r>
      </text>
    </comment>
    <comment ref="B20" authorId="0">
      <text>
        <r>
          <rPr>
            <sz val="9"/>
            <rFont val="ＭＳ Ｐゴシック"/>
            <family val="3"/>
          </rPr>
          <t xml:space="preserve">売掛金、受取手形、貸付金、前渡金などが取引先の倒産などにより回収不能になったもの 
</t>
        </r>
      </text>
    </comment>
    <comment ref="B21" authorId="0">
      <text>
        <r>
          <rPr>
            <sz val="9"/>
            <rFont val="ＭＳ Ｐゴシック"/>
            <family val="3"/>
          </rPr>
          <t xml:space="preserve">青色専従者給与に関する届出書」に記載した金額の範囲内で支給した金額 
</t>
        </r>
      </text>
    </comment>
    <comment ref="B23" authorId="0">
      <text>
        <r>
          <rPr>
            <sz val="9"/>
            <rFont val="ＭＳ Ｐゴシック"/>
            <family val="3"/>
          </rPr>
          <t xml:space="preserve">原材料などを支給して加工させた場合に支払う工賃。
</t>
        </r>
      </text>
    </comment>
    <comment ref="B24" authorId="1">
      <text>
        <r>
          <rPr>
            <sz val="9"/>
            <rFont val="ＭＳ Ｐゴシック"/>
            <family val="3"/>
          </rPr>
          <t>ここには良く使う勘定科目を自社専用の任意に設定して下さい。
例えば、購読料など
1月に入力するとすべてが変更されます。</t>
        </r>
      </text>
    </comment>
    <comment ref="B28" authorId="0">
      <text>
        <r>
          <rPr>
            <sz val="9"/>
            <rFont val="ＭＳ Ｐゴシック"/>
            <family val="3"/>
          </rPr>
          <t xml:space="preserve">以上の費用のほか、事業に直接必要な経費。
</t>
        </r>
      </text>
    </comment>
  </commentList>
</comments>
</file>

<file path=xl/comments2.xml><?xml version="1.0" encoding="utf-8"?>
<comments xmlns="http://schemas.openxmlformats.org/spreadsheetml/2006/main">
  <authors>
    <author>NEC-PCuser</author>
    <author>中尾　徹</author>
    <author>高石</author>
  </authors>
  <commentList>
    <comment ref="H4" authorId="0">
      <text>
        <r>
          <rPr>
            <sz val="9"/>
            <rFont val="ＭＳ Ｐゴシック"/>
            <family val="3"/>
          </rPr>
          <t xml:space="preserve">このセルは、前月の繰越金が自動的に入力されます。
</t>
        </r>
      </text>
    </comment>
    <comment ref="O4" authorId="0">
      <text>
        <r>
          <rPr>
            <sz val="9"/>
            <rFont val="ＭＳ Ｐゴシック"/>
            <family val="3"/>
          </rPr>
          <t xml:space="preserve">１日の収入が自動計算されますので入力はしないで下さい。
</t>
        </r>
      </text>
    </comment>
    <comment ref="P4" authorId="0">
      <text>
        <r>
          <rPr>
            <b/>
            <sz val="9"/>
            <rFont val="ＭＳ Ｐゴシック"/>
            <family val="3"/>
          </rPr>
          <t>１日の支出が自動計算されますので入力はしないで下さい。</t>
        </r>
      </text>
    </comment>
    <comment ref="H5" authorId="0">
      <text>
        <r>
          <rPr>
            <sz val="9"/>
            <rFont val="ＭＳ Ｐゴシック"/>
            <family val="3"/>
          </rPr>
          <t xml:space="preserve">自動計算されますので、このセルには数字等を入力しないで下さい。
</t>
        </r>
      </text>
    </comment>
    <comment ref="J6" authorId="1">
      <text>
        <r>
          <rPr>
            <sz val="9"/>
            <rFont val="ＭＳ Ｐゴシック"/>
            <family val="3"/>
          </rPr>
          <t>　租税とは、事業税・固定資産税・自動車税・印紙税・納付消費税・自動車重量税・取得税等をいいます。
　但し、所得税・住民税・相続税・贈与税・各種加算税・延滞金などは経費にはなりません。
　公課とは、商工会議所の会費・納税協会・申告会会費・組合費等で経費となります。</t>
        </r>
      </text>
    </comment>
    <comment ref="J7" authorId="1">
      <text>
        <r>
          <rPr>
            <sz val="9"/>
            <rFont val="ＭＳ Ｐゴシック"/>
            <family val="3"/>
          </rPr>
          <t>商品などの発送のために要した包装材料費、人件費、運賃、などで自分が負担するもの。</t>
        </r>
      </text>
    </comment>
    <comment ref="J8" authorId="1">
      <text>
        <r>
          <rPr>
            <sz val="9"/>
            <rFont val="ＭＳ Ｐゴシック"/>
            <family val="3"/>
          </rPr>
          <t xml:space="preserve">　事業用に使用した水道、電気料、ガス代など。
　事業所と自宅が同じ場合は使用割合で計算して下さい。
</t>
        </r>
      </text>
    </comment>
    <comment ref="J9" authorId="1">
      <text>
        <r>
          <rPr>
            <sz val="9"/>
            <rFont val="ＭＳ Ｐゴシック"/>
            <family val="3"/>
          </rPr>
          <t xml:space="preserve">仕入れや販売のために要した交通費や宿泊代など。
</t>
        </r>
      </text>
    </comment>
    <comment ref="J10" authorId="1">
      <text>
        <r>
          <rPr>
            <sz val="9"/>
            <rFont val="ＭＳ Ｐゴシック"/>
            <family val="3"/>
          </rPr>
          <t xml:space="preserve">事業用のハガキ、切手代、電話料金など。
</t>
        </r>
      </text>
    </comment>
    <comment ref="J11" authorId="1">
      <text>
        <r>
          <rPr>
            <sz val="9"/>
            <rFont val="ＭＳ Ｐゴシック"/>
            <family val="3"/>
          </rPr>
          <t xml:space="preserve">新聞、雑誌の広告料、折込広告に要した印刷代や折込料、カレンダー作成費、大売出しの際の福引費用。
</t>
        </r>
      </text>
    </comment>
    <comment ref="J12" authorId="1">
      <text>
        <r>
          <rPr>
            <sz val="9"/>
            <rFont val="ＭＳ Ｐゴシック"/>
            <family val="3"/>
          </rPr>
          <t xml:space="preserve">事業用の茶菓子代、飲食費、贈答費用など。
</t>
        </r>
      </text>
    </comment>
    <comment ref="J13" authorId="1">
      <text>
        <r>
          <rPr>
            <sz val="9"/>
            <rFont val="ＭＳ Ｐゴシック"/>
            <family val="3"/>
          </rPr>
          <t xml:space="preserve">棚卸資産や事業用の資産に対する掛捨ての火災保険、事業用車両の損害保険料など。
</t>
        </r>
      </text>
    </comment>
    <comment ref="J14" authorId="1">
      <text>
        <r>
          <rPr>
            <sz val="9"/>
            <rFont val="ＭＳ Ｐゴシック"/>
            <family val="3"/>
          </rPr>
          <t xml:space="preserve">事業用の建物や機械器具などの修理に要した維持補修費用。
</t>
        </r>
      </text>
    </comment>
    <comment ref="J15" authorId="1">
      <text>
        <r>
          <rPr>
            <sz val="9"/>
            <rFont val="ＭＳ Ｐゴシック"/>
            <family val="3"/>
          </rPr>
          <t xml:space="preserve">　帳簿等の事務用品や包装紙、テープ、事業用車両のガソリン代、などの費用をいいます。
　器具備品のうち使用可能期間が１年未満のものや取得価額が１０万円未満の少額なもの。
</t>
        </r>
      </text>
    </comment>
    <comment ref="J16" authorId="1">
      <text>
        <r>
          <rPr>
            <sz val="9"/>
            <rFont val="ＭＳ Ｐゴシック"/>
            <family val="3"/>
          </rPr>
          <t xml:space="preserve">　従業員の慰安会費、医療費、保険料等で事業主が支払ったもの。
　保険料とは健康保険・厚生年金・雇用保険料や退職金共済制度に対する掛け金などで事業主が負担する費用
</t>
        </r>
      </text>
    </comment>
    <comment ref="J17" authorId="1">
      <text>
        <r>
          <rPr>
            <sz val="9"/>
            <rFont val="ＭＳ Ｐゴシック"/>
            <family val="3"/>
          </rPr>
          <t xml:space="preserve">　従業員に対する給料、賞与、現物支給した費用。
</t>
        </r>
      </text>
    </comment>
    <comment ref="J18" authorId="1">
      <text>
        <r>
          <rPr>
            <sz val="9"/>
            <rFont val="ＭＳ Ｐゴシック"/>
            <family val="3"/>
          </rPr>
          <t xml:space="preserve">事業用の借入金の支払い利子や受取手形の割引料。
</t>
        </r>
      </text>
    </comment>
    <comment ref="J19" authorId="1">
      <text>
        <r>
          <rPr>
            <sz val="9"/>
            <rFont val="ＭＳ Ｐゴシック"/>
            <family val="3"/>
          </rPr>
          <t xml:space="preserve">店舗、工場、倉庫、駐車場、等の地代や建物の賃借料。
</t>
        </r>
      </text>
    </comment>
    <comment ref="J20" authorId="1">
      <text>
        <r>
          <rPr>
            <sz val="9"/>
            <rFont val="ＭＳ Ｐゴシック"/>
            <family val="3"/>
          </rPr>
          <t xml:space="preserve">売掛金、受取手形、貸付金、前渡金などが取引先の倒産などにより回収不能になったもの 
</t>
        </r>
      </text>
    </comment>
    <comment ref="J21" authorId="1">
      <text>
        <r>
          <rPr>
            <sz val="9"/>
            <rFont val="ＭＳ Ｐゴシック"/>
            <family val="3"/>
          </rPr>
          <t xml:space="preserve">青色専従者給与に関する届出書」に記載した金額の範囲内で支給した金額 
</t>
        </r>
      </text>
    </comment>
    <comment ref="J23" authorId="1">
      <text>
        <r>
          <rPr>
            <sz val="9"/>
            <rFont val="ＭＳ Ｐゴシック"/>
            <family val="3"/>
          </rPr>
          <t xml:space="preserve">原材料などを支給して加工させた場合に支払う工賃。
</t>
        </r>
      </text>
    </comment>
    <comment ref="J24" authorId="0">
      <text>
        <r>
          <rPr>
            <sz val="9"/>
            <rFont val="ＭＳ Ｐゴシック"/>
            <family val="3"/>
          </rPr>
          <t>ここには良く使う勘定科目を自社専用の任意に設定して下さい。
例えば、購読料など
1月に入力するとすべてが変更されます。</t>
        </r>
      </text>
    </comment>
    <comment ref="J28" authorId="1">
      <text>
        <r>
          <rPr>
            <sz val="9"/>
            <rFont val="ＭＳ Ｐゴシック"/>
            <family val="3"/>
          </rPr>
          <t xml:space="preserve">以上の費用のほか、事業に直接必要な経費。
</t>
        </r>
      </text>
    </comment>
    <comment ref="C5" authorId="0">
      <text>
        <r>
          <rPr>
            <sz val="9"/>
            <rFont val="ＭＳ Ｐゴシック"/>
            <family val="3"/>
          </rPr>
          <t xml:space="preserve">▼をクリックすると勘定科目が表示されますので選択すれば自動入力されて１ケ月の合計も自動計算されます。
</t>
        </r>
      </text>
    </comment>
    <comment ref="D5" authorId="2">
      <text>
        <r>
          <rPr>
            <sz val="9"/>
            <rFont val="ＭＳ Ｐゴシック"/>
            <family val="3"/>
          </rPr>
          <t>▼をクリックするとＪ欄下の枡の部分に登録した取引先が表示されます。</t>
        </r>
      </text>
    </comment>
  </commentList>
</comments>
</file>

<file path=xl/comments3.xml><?xml version="1.0" encoding="utf-8"?>
<comments xmlns="http://schemas.openxmlformats.org/spreadsheetml/2006/main">
  <authors>
    <author>NEC-PCuser</author>
    <author>中尾　徹</author>
    <author>高石</author>
  </authors>
  <commentList>
    <comment ref="H4" authorId="0">
      <text>
        <r>
          <rPr>
            <sz val="9"/>
            <rFont val="ＭＳ Ｐゴシック"/>
            <family val="3"/>
          </rPr>
          <t xml:space="preserve">このセルだけは前月の繰越金を入力してください。
</t>
        </r>
      </text>
    </comment>
    <comment ref="O4" authorId="0">
      <text>
        <r>
          <rPr>
            <sz val="9"/>
            <rFont val="ＭＳ Ｐゴシック"/>
            <family val="3"/>
          </rPr>
          <t xml:space="preserve">１日の収入が自動計算されますので入力はしないで下さい。
</t>
        </r>
      </text>
    </comment>
    <comment ref="P4" authorId="0">
      <text>
        <r>
          <rPr>
            <b/>
            <sz val="9"/>
            <rFont val="ＭＳ Ｐゴシック"/>
            <family val="3"/>
          </rPr>
          <t>１日の支出が自動計算されますので入力はしないで下さい。</t>
        </r>
      </text>
    </comment>
    <comment ref="C5" authorId="0">
      <text>
        <r>
          <rPr>
            <sz val="9"/>
            <rFont val="ＭＳ Ｐゴシック"/>
            <family val="3"/>
          </rPr>
          <t xml:space="preserve">▼をクリックすると勘定科目が表示されますので選択すれば自動入力されて１ケ月の合計も自動計算されます。
</t>
        </r>
      </text>
    </comment>
    <comment ref="H5" authorId="0">
      <text>
        <r>
          <rPr>
            <sz val="9"/>
            <rFont val="ＭＳ Ｐゴシック"/>
            <family val="3"/>
          </rPr>
          <t xml:space="preserve">自動計算されますので、このセルには数字等を入力しないで下さい。
</t>
        </r>
      </text>
    </comment>
    <comment ref="J6" authorId="1">
      <text>
        <r>
          <rPr>
            <sz val="9"/>
            <rFont val="ＭＳ Ｐゴシック"/>
            <family val="3"/>
          </rPr>
          <t>　租税とは、事業税・固定資産税・自動車税・印紙税・納付消費税・自動車重量税・取得税等をいいます。
　但し、所得税・住民税・相続税・贈与税・各種加算税・延滞金などは経費にはなりません。
　公課とは、商工会議所の会費・納税協会・申告会会費・組合費等で経費となります。</t>
        </r>
      </text>
    </comment>
    <comment ref="J8" authorId="1">
      <text>
        <r>
          <rPr>
            <sz val="9"/>
            <rFont val="ＭＳ Ｐゴシック"/>
            <family val="3"/>
          </rPr>
          <t xml:space="preserve">　事業用に使用した水道、電気料、ガス代など。
　事業所と自宅が同じ場合は使用割合で計算して下さい。
</t>
        </r>
      </text>
    </comment>
    <comment ref="J9" authorId="1">
      <text>
        <r>
          <rPr>
            <sz val="9"/>
            <rFont val="ＭＳ Ｐゴシック"/>
            <family val="3"/>
          </rPr>
          <t xml:space="preserve">仕入れや販売のために要した交通費や宿泊代など。
</t>
        </r>
      </text>
    </comment>
    <comment ref="J10" authorId="1">
      <text>
        <r>
          <rPr>
            <sz val="9"/>
            <rFont val="ＭＳ Ｐゴシック"/>
            <family val="3"/>
          </rPr>
          <t xml:space="preserve">事業用のハガキ、切手代、電話料金など。
</t>
        </r>
      </text>
    </comment>
    <comment ref="J11" authorId="1">
      <text>
        <r>
          <rPr>
            <sz val="9"/>
            <rFont val="ＭＳ Ｐゴシック"/>
            <family val="3"/>
          </rPr>
          <t xml:space="preserve">新聞、雑誌の広告料、折込広告に要した印刷代や折込料、カレンダー作成費、大売出しの際の福引費用。
</t>
        </r>
      </text>
    </comment>
    <comment ref="J12" authorId="1">
      <text>
        <r>
          <rPr>
            <sz val="9"/>
            <rFont val="ＭＳ Ｐゴシック"/>
            <family val="3"/>
          </rPr>
          <t xml:space="preserve">事業用の茶菓子代、飲食費、贈答費用など。
</t>
        </r>
      </text>
    </comment>
    <comment ref="J13" authorId="1">
      <text>
        <r>
          <rPr>
            <sz val="9"/>
            <rFont val="ＭＳ Ｐゴシック"/>
            <family val="3"/>
          </rPr>
          <t xml:space="preserve">棚卸資産や事業用の資産に対する掛捨ての火災保険、事業用車両の損害保険料など。
</t>
        </r>
      </text>
    </comment>
    <comment ref="J14" authorId="1">
      <text>
        <r>
          <rPr>
            <sz val="9"/>
            <rFont val="ＭＳ Ｐゴシック"/>
            <family val="3"/>
          </rPr>
          <t xml:space="preserve">事業用の建物や機械器具などの修理に要した維持補修費用。
</t>
        </r>
      </text>
    </comment>
    <comment ref="J15" authorId="1">
      <text>
        <r>
          <rPr>
            <sz val="9"/>
            <rFont val="ＭＳ Ｐゴシック"/>
            <family val="3"/>
          </rPr>
          <t xml:space="preserve">　帳簿等の事務用品や包装紙、テープ、事業用車両のガソリン代、などの費用をいいます。
　器具備品のうち使用可能期間が１年未満のものや取得価額が１０万円未満の少額なもの。
</t>
        </r>
      </text>
    </comment>
    <comment ref="J16" authorId="1">
      <text>
        <r>
          <rPr>
            <sz val="9"/>
            <rFont val="ＭＳ Ｐゴシック"/>
            <family val="3"/>
          </rPr>
          <t xml:space="preserve">　従業員の慰安会費、医療費、保険料等で事業主が支払ったもの。
　保険料とは健康保険・厚生年金・雇用保険料や退職金共済制度に対する掛け金などで事業主が負担する費用
</t>
        </r>
      </text>
    </comment>
    <comment ref="J17" authorId="1">
      <text>
        <r>
          <rPr>
            <sz val="9"/>
            <rFont val="ＭＳ Ｐゴシック"/>
            <family val="3"/>
          </rPr>
          <t xml:space="preserve">　従業員に対する給料、賞与、現物支給した費用。
</t>
        </r>
      </text>
    </comment>
    <comment ref="J18" authorId="1">
      <text>
        <r>
          <rPr>
            <sz val="9"/>
            <rFont val="ＭＳ Ｐゴシック"/>
            <family val="3"/>
          </rPr>
          <t xml:space="preserve">事業用の借入金の支払い利子や受取手形の割引料。
</t>
        </r>
      </text>
    </comment>
    <comment ref="J19" authorId="1">
      <text>
        <r>
          <rPr>
            <sz val="9"/>
            <rFont val="ＭＳ Ｐゴシック"/>
            <family val="3"/>
          </rPr>
          <t xml:space="preserve">店舗、工場、倉庫、駐車場、等の地代や建物の賃借料。
</t>
        </r>
      </text>
    </comment>
    <comment ref="J20" authorId="1">
      <text>
        <r>
          <rPr>
            <sz val="9"/>
            <rFont val="ＭＳ Ｐゴシック"/>
            <family val="3"/>
          </rPr>
          <t xml:space="preserve">売掛金、受取手形、貸付金、前渡金などが取引先の倒産などにより回収不能になったもの 
</t>
        </r>
      </text>
    </comment>
    <comment ref="J21" authorId="1">
      <text>
        <r>
          <rPr>
            <sz val="9"/>
            <rFont val="ＭＳ Ｐゴシック"/>
            <family val="3"/>
          </rPr>
          <t xml:space="preserve">青色専従者給与に関する届出書」に記載した金額の範囲内で支給した金額 
</t>
        </r>
      </text>
    </comment>
    <comment ref="J23" authorId="1">
      <text>
        <r>
          <rPr>
            <sz val="9"/>
            <rFont val="ＭＳ Ｐゴシック"/>
            <family val="3"/>
          </rPr>
          <t xml:space="preserve">原材料などを支給して加工させた場合に支払う工賃。
</t>
        </r>
      </text>
    </comment>
    <comment ref="J28" authorId="1">
      <text>
        <r>
          <rPr>
            <sz val="9"/>
            <rFont val="ＭＳ Ｐゴシック"/>
            <family val="3"/>
          </rPr>
          <t xml:space="preserve">以上の費用のほか、事業に直接必要な経費。
</t>
        </r>
      </text>
    </comment>
    <comment ref="D5" authorId="2">
      <text>
        <r>
          <rPr>
            <sz val="9"/>
            <rFont val="ＭＳ Ｐゴシック"/>
            <family val="3"/>
          </rPr>
          <t>▼をクリックするとＪ欄下の枡の部分に登録した取引先が表示されます。</t>
        </r>
      </text>
    </comment>
    <comment ref="J7" authorId="1">
      <text>
        <r>
          <rPr>
            <sz val="9"/>
            <rFont val="ＭＳ Ｐゴシック"/>
            <family val="3"/>
          </rPr>
          <t>商品などの発送のために要した包装材料費、人件費、運賃、などで自分が負担するもの。</t>
        </r>
      </text>
    </comment>
    <comment ref="J24" authorId="0">
      <text>
        <r>
          <rPr>
            <sz val="9"/>
            <rFont val="ＭＳ Ｐゴシック"/>
            <family val="3"/>
          </rPr>
          <t>ここには良く使う勘定科目を自社専用の任意に設定して下さい。
例えば、購読料など
1月に入力するとすべてが変更されます。</t>
        </r>
      </text>
    </comment>
  </commentList>
</comments>
</file>

<file path=xl/comments4.xml><?xml version="1.0" encoding="utf-8"?>
<comments xmlns="http://schemas.openxmlformats.org/spreadsheetml/2006/main">
  <authors>
    <author>NEC-PCuser</author>
    <author>中尾　徹</author>
    <author>高石</author>
  </authors>
  <commentList>
    <comment ref="H4" authorId="0">
      <text>
        <r>
          <rPr>
            <sz val="9"/>
            <rFont val="ＭＳ Ｐゴシック"/>
            <family val="3"/>
          </rPr>
          <t xml:space="preserve">このセルだけは前月の繰越金を入力してください。
</t>
        </r>
      </text>
    </comment>
    <comment ref="O4" authorId="0">
      <text>
        <r>
          <rPr>
            <sz val="9"/>
            <rFont val="ＭＳ Ｐゴシック"/>
            <family val="3"/>
          </rPr>
          <t xml:space="preserve">１日の収入が自動計算されますので入力はしないで下さい。
</t>
        </r>
      </text>
    </comment>
    <comment ref="P4" authorId="0">
      <text>
        <r>
          <rPr>
            <b/>
            <sz val="9"/>
            <rFont val="ＭＳ Ｐゴシック"/>
            <family val="3"/>
          </rPr>
          <t>１日の支出が自動計算されますので入力はしないで下さい。</t>
        </r>
      </text>
    </comment>
    <comment ref="C5" authorId="0">
      <text>
        <r>
          <rPr>
            <sz val="9"/>
            <rFont val="ＭＳ Ｐゴシック"/>
            <family val="3"/>
          </rPr>
          <t xml:space="preserve">▼をクリックすると勘定科目が表示されますので選択すれば自動入力されて１ケ月の合計も自動計算されます。
</t>
        </r>
      </text>
    </comment>
    <comment ref="H5" authorId="0">
      <text>
        <r>
          <rPr>
            <sz val="9"/>
            <rFont val="ＭＳ Ｐゴシック"/>
            <family val="3"/>
          </rPr>
          <t xml:space="preserve">自動計算されますので、このセルには数字等を入力しないで下さい。
</t>
        </r>
      </text>
    </comment>
    <comment ref="J6" authorId="1">
      <text>
        <r>
          <rPr>
            <sz val="9"/>
            <rFont val="ＭＳ Ｐゴシック"/>
            <family val="3"/>
          </rPr>
          <t>　租税とは、事業税・固定資産税・自動車税・印紙税・納付消費税・自動車重量税・取得税等をいいます。
　但し、所得税・住民税・相続税・贈与税・各種加算税・延滞金などは経費にはなりません。
　公課とは、商工会議所の会費・納税協会・申告会会費・組合費等で経費となります。</t>
        </r>
      </text>
    </comment>
    <comment ref="J8" authorId="1">
      <text>
        <r>
          <rPr>
            <sz val="9"/>
            <rFont val="ＭＳ Ｐゴシック"/>
            <family val="3"/>
          </rPr>
          <t xml:space="preserve">　事業用に使用した水道、電気料、ガス代など。
　事業所と自宅が同じ場合は使用割合で計算して下さい。
</t>
        </r>
      </text>
    </comment>
    <comment ref="J9" authorId="1">
      <text>
        <r>
          <rPr>
            <sz val="9"/>
            <rFont val="ＭＳ Ｐゴシック"/>
            <family val="3"/>
          </rPr>
          <t xml:space="preserve">仕入れや販売のために要した交通費や宿泊代など。
</t>
        </r>
      </text>
    </comment>
    <comment ref="J10" authorId="1">
      <text>
        <r>
          <rPr>
            <sz val="9"/>
            <rFont val="ＭＳ Ｐゴシック"/>
            <family val="3"/>
          </rPr>
          <t xml:space="preserve">事業用のハガキ、切手代、電話料金など。
</t>
        </r>
      </text>
    </comment>
    <comment ref="J11" authorId="1">
      <text>
        <r>
          <rPr>
            <sz val="9"/>
            <rFont val="ＭＳ Ｐゴシック"/>
            <family val="3"/>
          </rPr>
          <t xml:space="preserve">新聞、雑誌の広告料、折込広告に要した印刷代や折込料、カレンダー作成費、大売出しの際の福引費用。
</t>
        </r>
      </text>
    </comment>
    <comment ref="J12" authorId="1">
      <text>
        <r>
          <rPr>
            <sz val="9"/>
            <rFont val="ＭＳ Ｐゴシック"/>
            <family val="3"/>
          </rPr>
          <t xml:space="preserve">事業用の茶菓子代、飲食費、贈答費用など。
</t>
        </r>
      </text>
    </comment>
    <comment ref="J13" authorId="1">
      <text>
        <r>
          <rPr>
            <sz val="9"/>
            <rFont val="ＭＳ Ｐゴシック"/>
            <family val="3"/>
          </rPr>
          <t xml:space="preserve">棚卸資産や事業用の資産に対する掛捨ての火災保険、事業用車両の損害保険料など。
</t>
        </r>
      </text>
    </comment>
    <comment ref="J14" authorId="1">
      <text>
        <r>
          <rPr>
            <sz val="9"/>
            <rFont val="ＭＳ Ｐゴシック"/>
            <family val="3"/>
          </rPr>
          <t xml:space="preserve">事業用の建物や機械器具などの修理に要した維持補修費用。
</t>
        </r>
      </text>
    </comment>
    <comment ref="J15" authorId="1">
      <text>
        <r>
          <rPr>
            <sz val="9"/>
            <rFont val="ＭＳ Ｐゴシック"/>
            <family val="3"/>
          </rPr>
          <t xml:space="preserve">　帳簿等の事務用品や包装紙、テープ、事業用車両のガソリン代、などの費用をいいます。
　器具備品のうち使用可能期間が１年未満のものや取得価額が１０万円未満の少額なもの。
</t>
        </r>
      </text>
    </comment>
    <comment ref="J16" authorId="1">
      <text>
        <r>
          <rPr>
            <sz val="9"/>
            <rFont val="ＭＳ Ｐゴシック"/>
            <family val="3"/>
          </rPr>
          <t xml:space="preserve">　従業員の慰安会費、医療費、保険料等で事業主が支払ったもの。
　保険料とは健康保険・厚生年金・雇用保険料や退職金共済制度に対する掛け金などで事業主が負担する費用
</t>
        </r>
      </text>
    </comment>
    <comment ref="J17" authorId="1">
      <text>
        <r>
          <rPr>
            <sz val="9"/>
            <rFont val="ＭＳ Ｐゴシック"/>
            <family val="3"/>
          </rPr>
          <t xml:space="preserve">　従業員に対する給料、賞与、現物支給した費用。
</t>
        </r>
      </text>
    </comment>
    <comment ref="J18" authorId="1">
      <text>
        <r>
          <rPr>
            <sz val="9"/>
            <rFont val="ＭＳ Ｐゴシック"/>
            <family val="3"/>
          </rPr>
          <t xml:space="preserve">事業用の借入金の支払い利子や受取手形の割引料。
</t>
        </r>
      </text>
    </comment>
    <comment ref="J19" authorId="1">
      <text>
        <r>
          <rPr>
            <sz val="9"/>
            <rFont val="ＭＳ Ｐゴシック"/>
            <family val="3"/>
          </rPr>
          <t xml:space="preserve">店舗、工場、倉庫、駐車場、等の地代や建物の賃借料。
</t>
        </r>
      </text>
    </comment>
    <comment ref="J20" authorId="1">
      <text>
        <r>
          <rPr>
            <sz val="9"/>
            <rFont val="ＭＳ Ｐゴシック"/>
            <family val="3"/>
          </rPr>
          <t xml:space="preserve">売掛金、受取手形、貸付金、前渡金などが取引先の倒産などにより回収不能になったもの 
</t>
        </r>
      </text>
    </comment>
    <comment ref="J21" authorId="1">
      <text>
        <r>
          <rPr>
            <sz val="9"/>
            <rFont val="ＭＳ Ｐゴシック"/>
            <family val="3"/>
          </rPr>
          <t xml:space="preserve">青色専従者給与に関する届出書」に記載した金額の範囲内で支給した金額 
</t>
        </r>
      </text>
    </comment>
    <comment ref="J23" authorId="1">
      <text>
        <r>
          <rPr>
            <sz val="9"/>
            <rFont val="ＭＳ Ｐゴシック"/>
            <family val="3"/>
          </rPr>
          <t xml:space="preserve">原材料などを支給して加工させた場合に支払う工賃。
</t>
        </r>
      </text>
    </comment>
    <comment ref="J28" authorId="1">
      <text>
        <r>
          <rPr>
            <sz val="9"/>
            <rFont val="ＭＳ Ｐゴシック"/>
            <family val="3"/>
          </rPr>
          <t xml:space="preserve">以上の費用のほか、事業に直接必要な経費。
</t>
        </r>
      </text>
    </comment>
    <comment ref="D5" authorId="2">
      <text>
        <r>
          <rPr>
            <sz val="9"/>
            <rFont val="ＭＳ Ｐゴシック"/>
            <family val="3"/>
          </rPr>
          <t>▼をクリックするとＪ欄下の枡の部分に登録した取引先が表示されます。</t>
        </r>
      </text>
    </comment>
    <comment ref="J7" authorId="1">
      <text>
        <r>
          <rPr>
            <sz val="9"/>
            <rFont val="ＭＳ Ｐゴシック"/>
            <family val="3"/>
          </rPr>
          <t>商品などの発送のために要した包装材料費、人件費、運賃、などで自分が負担するもの。</t>
        </r>
      </text>
    </comment>
    <comment ref="J24" authorId="0">
      <text>
        <r>
          <rPr>
            <sz val="9"/>
            <rFont val="ＭＳ Ｐゴシック"/>
            <family val="3"/>
          </rPr>
          <t>ここには良く使う勘定科目を自社専用の任意に設定して下さい。
例えば、購読料など
1月に入力するとすべてが変更されます。</t>
        </r>
      </text>
    </comment>
  </commentList>
</comments>
</file>

<file path=xl/comments5.xml><?xml version="1.0" encoding="utf-8"?>
<comments xmlns="http://schemas.openxmlformats.org/spreadsheetml/2006/main">
  <authors>
    <author>NEC-PCuser</author>
    <author>中尾　徹</author>
    <author>高石</author>
  </authors>
  <commentList>
    <comment ref="H4" authorId="0">
      <text>
        <r>
          <rPr>
            <sz val="9"/>
            <rFont val="ＭＳ Ｐゴシック"/>
            <family val="3"/>
          </rPr>
          <t xml:space="preserve">このセルだけは前月の繰越金を入力してください。
</t>
        </r>
      </text>
    </comment>
    <comment ref="O4" authorId="0">
      <text>
        <r>
          <rPr>
            <sz val="9"/>
            <rFont val="ＭＳ Ｐゴシック"/>
            <family val="3"/>
          </rPr>
          <t xml:space="preserve">１日の収入が自動計算されますので入力はしないで下さい。
</t>
        </r>
      </text>
    </comment>
    <comment ref="P4" authorId="0">
      <text>
        <r>
          <rPr>
            <b/>
            <sz val="9"/>
            <rFont val="ＭＳ Ｐゴシック"/>
            <family val="3"/>
          </rPr>
          <t>１日の支出が自動計算されますので入力はしないで下さい。</t>
        </r>
      </text>
    </comment>
    <comment ref="C5" authorId="0">
      <text>
        <r>
          <rPr>
            <sz val="9"/>
            <rFont val="ＭＳ Ｐゴシック"/>
            <family val="3"/>
          </rPr>
          <t xml:space="preserve">▼をクリックすると勘定科目が表示されますので選択すれば自動入力されて１ケ月の合計も自動計算されます。
</t>
        </r>
      </text>
    </comment>
    <comment ref="H5" authorId="0">
      <text>
        <r>
          <rPr>
            <sz val="9"/>
            <rFont val="ＭＳ Ｐゴシック"/>
            <family val="3"/>
          </rPr>
          <t xml:space="preserve">自動計算されますので、このセルには数字等を入力しないで下さい。
</t>
        </r>
      </text>
    </comment>
    <comment ref="J6" authorId="1">
      <text>
        <r>
          <rPr>
            <sz val="9"/>
            <rFont val="ＭＳ Ｐゴシック"/>
            <family val="3"/>
          </rPr>
          <t>　租税とは、事業税・固定資産税・自動車税・印紙税・納付消費税・自動車重量税・取得税等をいいます。
　但し、所得税・住民税・相続税・贈与税・各種加算税・延滞金などは経費にはなりません。
　公課とは、商工会議所の会費・納税協会・申告会会費・組合費等で経費となります。</t>
        </r>
      </text>
    </comment>
    <comment ref="J8" authorId="1">
      <text>
        <r>
          <rPr>
            <sz val="9"/>
            <rFont val="ＭＳ Ｐゴシック"/>
            <family val="3"/>
          </rPr>
          <t xml:space="preserve">　事業用に使用した水道、電気料、ガス代など。
　事業所と自宅が同じ場合は使用割合で計算して下さい。
</t>
        </r>
      </text>
    </comment>
    <comment ref="J9" authorId="1">
      <text>
        <r>
          <rPr>
            <sz val="9"/>
            <rFont val="ＭＳ Ｐゴシック"/>
            <family val="3"/>
          </rPr>
          <t xml:space="preserve">仕入れや販売のために要した交通費や宿泊代など。
</t>
        </r>
      </text>
    </comment>
    <comment ref="J10" authorId="1">
      <text>
        <r>
          <rPr>
            <sz val="9"/>
            <rFont val="ＭＳ Ｐゴシック"/>
            <family val="3"/>
          </rPr>
          <t xml:space="preserve">事業用のハガキ、切手代、電話料金など。
</t>
        </r>
      </text>
    </comment>
    <comment ref="J11" authorId="1">
      <text>
        <r>
          <rPr>
            <sz val="9"/>
            <rFont val="ＭＳ Ｐゴシック"/>
            <family val="3"/>
          </rPr>
          <t xml:space="preserve">新聞、雑誌の広告料、折込広告に要した印刷代や折込料、カレンダー作成費、大売出しの際の福引費用。
</t>
        </r>
      </text>
    </comment>
    <comment ref="J12" authorId="1">
      <text>
        <r>
          <rPr>
            <sz val="9"/>
            <rFont val="ＭＳ Ｐゴシック"/>
            <family val="3"/>
          </rPr>
          <t xml:space="preserve">事業用の茶菓子代、飲食費、贈答費用など。
</t>
        </r>
      </text>
    </comment>
    <comment ref="J13" authorId="1">
      <text>
        <r>
          <rPr>
            <sz val="9"/>
            <rFont val="ＭＳ Ｐゴシック"/>
            <family val="3"/>
          </rPr>
          <t xml:space="preserve">棚卸資産や事業用の資産に対する掛捨ての火災保険、事業用車両の損害保険料など。
</t>
        </r>
      </text>
    </comment>
    <comment ref="J14" authorId="1">
      <text>
        <r>
          <rPr>
            <sz val="9"/>
            <rFont val="ＭＳ Ｐゴシック"/>
            <family val="3"/>
          </rPr>
          <t xml:space="preserve">事業用の建物や機械器具などの修理に要した維持補修費用。
</t>
        </r>
      </text>
    </comment>
    <comment ref="J15" authorId="1">
      <text>
        <r>
          <rPr>
            <sz val="9"/>
            <rFont val="ＭＳ Ｐゴシック"/>
            <family val="3"/>
          </rPr>
          <t xml:space="preserve">　帳簿等の事務用品や包装紙、テープ、事業用車両のガソリン代、などの費用をいいます。
　器具備品のうち使用可能期間が１年未満のものや取得価額が１０万円未満の少額なもの。
</t>
        </r>
      </text>
    </comment>
    <comment ref="J16" authorId="1">
      <text>
        <r>
          <rPr>
            <sz val="9"/>
            <rFont val="ＭＳ Ｐゴシック"/>
            <family val="3"/>
          </rPr>
          <t xml:space="preserve">　従業員の慰安会費、医療費、保険料等で事業主が支払ったもの。
　保険料とは健康保険・厚生年金・雇用保険料や退職金共済制度に対する掛け金などで事業主が負担する費用
</t>
        </r>
      </text>
    </comment>
    <comment ref="J17" authorId="1">
      <text>
        <r>
          <rPr>
            <sz val="9"/>
            <rFont val="ＭＳ Ｐゴシック"/>
            <family val="3"/>
          </rPr>
          <t xml:space="preserve">　従業員に対する給料、賞与、現物支給した費用。
</t>
        </r>
      </text>
    </comment>
    <comment ref="J18" authorId="1">
      <text>
        <r>
          <rPr>
            <sz val="9"/>
            <rFont val="ＭＳ Ｐゴシック"/>
            <family val="3"/>
          </rPr>
          <t xml:space="preserve">事業用の借入金の支払い利子や受取手形の割引料。
</t>
        </r>
      </text>
    </comment>
    <comment ref="J19" authorId="1">
      <text>
        <r>
          <rPr>
            <sz val="9"/>
            <rFont val="ＭＳ Ｐゴシック"/>
            <family val="3"/>
          </rPr>
          <t xml:space="preserve">店舗、工場、倉庫、駐車場、等の地代や建物の賃借料。
</t>
        </r>
      </text>
    </comment>
    <comment ref="J20" authorId="1">
      <text>
        <r>
          <rPr>
            <sz val="9"/>
            <rFont val="ＭＳ Ｐゴシック"/>
            <family val="3"/>
          </rPr>
          <t xml:space="preserve">売掛金、受取手形、貸付金、前渡金などが取引先の倒産などにより回収不能になったもの 
</t>
        </r>
      </text>
    </comment>
    <comment ref="J21" authorId="1">
      <text>
        <r>
          <rPr>
            <sz val="9"/>
            <rFont val="ＭＳ Ｐゴシック"/>
            <family val="3"/>
          </rPr>
          <t xml:space="preserve">青色専従者給与に関する届出書」に記載した金額の範囲内で支給した金額 
</t>
        </r>
      </text>
    </comment>
    <comment ref="J23" authorId="1">
      <text>
        <r>
          <rPr>
            <sz val="9"/>
            <rFont val="ＭＳ Ｐゴシック"/>
            <family val="3"/>
          </rPr>
          <t xml:space="preserve">原材料などを支給して加工させた場合に支払う工賃。
</t>
        </r>
      </text>
    </comment>
    <comment ref="J28" authorId="1">
      <text>
        <r>
          <rPr>
            <sz val="9"/>
            <rFont val="ＭＳ Ｐゴシック"/>
            <family val="3"/>
          </rPr>
          <t xml:space="preserve">以上の費用のほか、事業に直接必要な経費。
</t>
        </r>
      </text>
    </comment>
    <comment ref="D5" authorId="2">
      <text>
        <r>
          <rPr>
            <sz val="9"/>
            <rFont val="ＭＳ Ｐゴシック"/>
            <family val="3"/>
          </rPr>
          <t>▼をクリックするとＪ欄下の枡の部分に登録した取引先が表示されます。</t>
        </r>
      </text>
    </comment>
    <comment ref="J7" authorId="1">
      <text>
        <r>
          <rPr>
            <sz val="9"/>
            <rFont val="ＭＳ Ｐゴシック"/>
            <family val="3"/>
          </rPr>
          <t>商品などの発送のために要した包装材料費、人件費、運賃、などで自分が負担するもの。</t>
        </r>
      </text>
    </comment>
    <comment ref="J24" authorId="0">
      <text>
        <r>
          <rPr>
            <sz val="9"/>
            <rFont val="ＭＳ Ｐゴシック"/>
            <family val="3"/>
          </rPr>
          <t>ここには良く使う勘定科目を自社専用の任意に設定して下さい。
例えば、購読料など
1月に入力するとすべてが変更されます。</t>
        </r>
      </text>
    </comment>
  </commentList>
</comments>
</file>

<file path=xl/comments6.xml><?xml version="1.0" encoding="utf-8"?>
<comments xmlns="http://schemas.openxmlformats.org/spreadsheetml/2006/main">
  <authors>
    <author>NEC-PCuser</author>
    <author>中尾　徹</author>
    <author>高石</author>
  </authors>
  <commentList>
    <comment ref="H4" authorId="0">
      <text>
        <r>
          <rPr>
            <sz val="9"/>
            <rFont val="ＭＳ Ｐゴシック"/>
            <family val="3"/>
          </rPr>
          <t xml:space="preserve">このセルだけは前月の繰越金を入力してください。
</t>
        </r>
      </text>
    </comment>
    <comment ref="O4" authorId="0">
      <text>
        <r>
          <rPr>
            <sz val="9"/>
            <rFont val="ＭＳ Ｐゴシック"/>
            <family val="3"/>
          </rPr>
          <t xml:space="preserve">１日の収入が自動計算されますので入力はしないで下さい。
</t>
        </r>
      </text>
    </comment>
    <comment ref="P4" authorId="0">
      <text>
        <r>
          <rPr>
            <b/>
            <sz val="9"/>
            <rFont val="ＭＳ Ｐゴシック"/>
            <family val="3"/>
          </rPr>
          <t>１日の支出が自動計算されますので入力はしないで下さい。</t>
        </r>
      </text>
    </comment>
    <comment ref="C5" authorId="0">
      <text>
        <r>
          <rPr>
            <sz val="9"/>
            <rFont val="ＭＳ Ｐゴシック"/>
            <family val="3"/>
          </rPr>
          <t xml:space="preserve">▼をクリックすると勘定科目が表示されますので選択すれば自動入力されて１ケ月の合計も自動計算されます。
</t>
        </r>
      </text>
    </comment>
    <comment ref="H5" authorId="0">
      <text>
        <r>
          <rPr>
            <sz val="9"/>
            <rFont val="ＭＳ Ｐゴシック"/>
            <family val="3"/>
          </rPr>
          <t xml:space="preserve">自動計算されますので、このセルには数字等を入力しないで下さい。
</t>
        </r>
      </text>
    </comment>
    <comment ref="J6" authorId="1">
      <text>
        <r>
          <rPr>
            <sz val="9"/>
            <rFont val="ＭＳ Ｐゴシック"/>
            <family val="3"/>
          </rPr>
          <t>　租税とは、事業税・固定資産税・自動車税・印紙税・納付消費税・自動車重量税・取得税等をいいます。
　但し、所得税・住民税・相続税・贈与税・各種加算税・延滞金などは経費にはなりません。
　公課とは、商工会議所の会費・納税協会・申告会会費・組合費等で経費となります。</t>
        </r>
      </text>
    </comment>
    <comment ref="J8" authorId="1">
      <text>
        <r>
          <rPr>
            <sz val="9"/>
            <rFont val="ＭＳ Ｐゴシック"/>
            <family val="3"/>
          </rPr>
          <t xml:space="preserve">　事業用に使用した水道、電気料、ガス代など。
　事業所と自宅が同じ場合は使用割合で計算して下さい。
</t>
        </r>
      </text>
    </comment>
    <comment ref="J9" authorId="1">
      <text>
        <r>
          <rPr>
            <sz val="9"/>
            <rFont val="ＭＳ Ｐゴシック"/>
            <family val="3"/>
          </rPr>
          <t xml:space="preserve">仕入れや販売のために要した交通費や宿泊代など。
</t>
        </r>
      </text>
    </comment>
    <comment ref="J10" authorId="1">
      <text>
        <r>
          <rPr>
            <sz val="9"/>
            <rFont val="ＭＳ Ｐゴシック"/>
            <family val="3"/>
          </rPr>
          <t xml:space="preserve">事業用のハガキ、切手代、電話料金など。
</t>
        </r>
      </text>
    </comment>
    <comment ref="J11" authorId="1">
      <text>
        <r>
          <rPr>
            <sz val="9"/>
            <rFont val="ＭＳ Ｐゴシック"/>
            <family val="3"/>
          </rPr>
          <t xml:space="preserve">新聞、雑誌の広告料、折込広告に要した印刷代や折込料、カレンダー作成費、大売出しの際の福引費用。
</t>
        </r>
      </text>
    </comment>
    <comment ref="J12" authorId="1">
      <text>
        <r>
          <rPr>
            <sz val="9"/>
            <rFont val="ＭＳ Ｐゴシック"/>
            <family val="3"/>
          </rPr>
          <t xml:space="preserve">事業用の茶菓子代、飲食費、贈答費用など。
</t>
        </r>
      </text>
    </comment>
    <comment ref="J13" authorId="1">
      <text>
        <r>
          <rPr>
            <sz val="9"/>
            <rFont val="ＭＳ Ｐゴシック"/>
            <family val="3"/>
          </rPr>
          <t xml:space="preserve">棚卸資産や事業用の資産に対する掛捨ての火災保険、事業用車両の損害保険料など。
</t>
        </r>
      </text>
    </comment>
    <comment ref="J14" authorId="1">
      <text>
        <r>
          <rPr>
            <sz val="9"/>
            <rFont val="ＭＳ Ｐゴシック"/>
            <family val="3"/>
          </rPr>
          <t xml:space="preserve">事業用の建物や機械器具などの修理に要した維持補修費用。
</t>
        </r>
      </text>
    </comment>
    <comment ref="J15" authorId="1">
      <text>
        <r>
          <rPr>
            <sz val="9"/>
            <rFont val="ＭＳ Ｐゴシック"/>
            <family val="3"/>
          </rPr>
          <t xml:space="preserve">　帳簿等の事務用品や包装紙、テープ、事業用車両のガソリン代、などの費用をいいます。
　器具備品のうち使用可能期間が１年未満のものや取得価額が１０万円未満の少額なもの。
</t>
        </r>
      </text>
    </comment>
    <comment ref="J16" authorId="1">
      <text>
        <r>
          <rPr>
            <sz val="9"/>
            <rFont val="ＭＳ Ｐゴシック"/>
            <family val="3"/>
          </rPr>
          <t xml:space="preserve">　従業員の慰安会費、医療費、保険料等で事業主が支払ったもの。
　保険料とは健康保険・厚生年金・雇用保険料や退職金共済制度に対する掛け金などで事業主が負担する費用
</t>
        </r>
      </text>
    </comment>
    <comment ref="J17" authorId="1">
      <text>
        <r>
          <rPr>
            <sz val="9"/>
            <rFont val="ＭＳ Ｐゴシック"/>
            <family val="3"/>
          </rPr>
          <t xml:space="preserve">　従業員に対する給料、賞与、現物支給した費用。
</t>
        </r>
      </text>
    </comment>
    <comment ref="J18" authorId="1">
      <text>
        <r>
          <rPr>
            <sz val="9"/>
            <rFont val="ＭＳ Ｐゴシック"/>
            <family val="3"/>
          </rPr>
          <t xml:space="preserve">事業用の借入金の支払い利子や受取手形の割引料。
</t>
        </r>
      </text>
    </comment>
    <comment ref="J19" authorId="1">
      <text>
        <r>
          <rPr>
            <sz val="9"/>
            <rFont val="ＭＳ Ｐゴシック"/>
            <family val="3"/>
          </rPr>
          <t xml:space="preserve">店舗、工場、倉庫、駐車場、等の地代や建物の賃借料。
</t>
        </r>
      </text>
    </comment>
    <comment ref="J20" authorId="1">
      <text>
        <r>
          <rPr>
            <sz val="9"/>
            <rFont val="ＭＳ Ｐゴシック"/>
            <family val="3"/>
          </rPr>
          <t xml:space="preserve">売掛金、受取手形、貸付金、前渡金などが取引先の倒産などにより回収不能になったもの 
</t>
        </r>
      </text>
    </comment>
    <comment ref="J21" authorId="1">
      <text>
        <r>
          <rPr>
            <sz val="9"/>
            <rFont val="ＭＳ Ｐゴシック"/>
            <family val="3"/>
          </rPr>
          <t xml:space="preserve">青色専従者給与に関する届出書」に記載した金額の範囲内で支給した金額 
</t>
        </r>
      </text>
    </comment>
    <comment ref="J23" authorId="1">
      <text>
        <r>
          <rPr>
            <sz val="9"/>
            <rFont val="ＭＳ Ｐゴシック"/>
            <family val="3"/>
          </rPr>
          <t xml:space="preserve">原材料などを支給して加工させた場合に支払う工賃。
</t>
        </r>
      </text>
    </comment>
    <comment ref="J28" authorId="1">
      <text>
        <r>
          <rPr>
            <sz val="9"/>
            <rFont val="ＭＳ Ｐゴシック"/>
            <family val="3"/>
          </rPr>
          <t xml:space="preserve">以上の費用のほか、事業に直接必要な経費。
</t>
        </r>
      </text>
    </comment>
    <comment ref="D5" authorId="2">
      <text>
        <r>
          <rPr>
            <sz val="9"/>
            <rFont val="ＭＳ Ｐゴシック"/>
            <family val="3"/>
          </rPr>
          <t>▼をクリックするとＪ欄下の枡の部分に登録した取引先が表示されます。</t>
        </r>
      </text>
    </comment>
    <comment ref="J7" authorId="1">
      <text>
        <r>
          <rPr>
            <sz val="9"/>
            <rFont val="ＭＳ Ｐゴシック"/>
            <family val="3"/>
          </rPr>
          <t>商品などの発送のために要した包装材料費、人件費、運賃、などで自分が負担するもの。</t>
        </r>
      </text>
    </comment>
    <comment ref="J24" authorId="0">
      <text>
        <r>
          <rPr>
            <sz val="9"/>
            <rFont val="ＭＳ Ｐゴシック"/>
            <family val="3"/>
          </rPr>
          <t>ここには良く使う勘定科目を自社専用の任意に設定して下さい。
例えば、購読料など
1月に入力するとすべてが変更されます。</t>
        </r>
      </text>
    </comment>
  </commentList>
</comments>
</file>

<file path=xl/comments7.xml><?xml version="1.0" encoding="utf-8"?>
<comments xmlns="http://schemas.openxmlformats.org/spreadsheetml/2006/main">
  <authors>
    <author>NEC-PCuser</author>
    <author>中尾　徹</author>
    <author>高石</author>
  </authors>
  <commentList>
    <comment ref="H4" authorId="0">
      <text>
        <r>
          <rPr>
            <sz val="9"/>
            <rFont val="ＭＳ Ｐゴシック"/>
            <family val="3"/>
          </rPr>
          <t xml:space="preserve">このセルだけは前月の繰越金を入力してください。
</t>
        </r>
      </text>
    </comment>
    <comment ref="O4" authorId="0">
      <text>
        <r>
          <rPr>
            <sz val="9"/>
            <rFont val="ＭＳ Ｐゴシック"/>
            <family val="3"/>
          </rPr>
          <t xml:space="preserve">１日の収入が自動計算されますので入力はしないで下さい。
</t>
        </r>
      </text>
    </comment>
    <comment ref="P4" authorId="0">
      <text>
        <r>
          <rPr>
            <b/>
            <sz val="9"/>
            <rFont val="ＭＳ Ｐゴシック"/>
            <family val="3"/>
          </rPr>
          <t>１日の支出が自動計算されますので入力はしないで下さい。</t>
        </r>
      </text>
    </comment>
    <comment ref="C5" authorId="0">
      <text>
        <r>
          <rPr>
            <sz val="9"/>
            <rFont val="ＭＳ Ｐゴシック"/>
            <family val="3"/>
          </rPr>
          <t xml:space="preserve">▼をクリックすると勘定科目が表示されますので選択すれば自動入力されて１ケ月の合計も自動計算されます。
</t>
        </r>
      </text>
    </comment>
    <comment ref="H5" authorId="0">
      <text>
        <r>
          <rPr>
            <sz val="9"/>
            <rFont val="ＭＳ Ｐゴシック"/>
            <family val="3"/>
          </rPr>
          <t xml:space="preserve">自動計算されますので、このセルには数字等を入力しないで下さい。
</t>
        </r>
      </text>
    </comment>
    <comment ref="J6" authorId="1">
      <text>
        <r>
          <rPr>
            <sz val="9"/>
            <rFont val="ＭＳ Ｐゴシック"/>
            <family val="3"/>
          </rPr>
          <t>　租税とは、事業税・固定資産税・自動車税・印紙税・納付消費税・自動車重量税・取得税等をいいます。
　但し、所得税・住民税・相続税・贈与税・各種加算税・延滞金などは経費にはなりません。
　公課とは、商工会議所の会費・納税協会・申告会会費・組合費等で経費となります。</t>
        </r>
      </text>
    </comment>
    <comment ref="J8" authorId="1">
      <text>
        <r>
          <rPr>
            <sz val="9"/>
            <rFont val="ＭＳ Ｐゴシック"/>
            <family val="3"/>
          </rPr>
          <t xml:space="preserve">　事業用に使用した水道、電気料、ガス代など。
　事業所と自宅が同じ場合は使用割合で計算して下さい。
</t>
        </r>
      </text>
    </comment>
    <comment ref="J9" authorId="1">
      <text>
        <r>
          <rPr>
            <sz val="9"/>
            <rFont val="ＭＳ Ｐゴシック"/>
            <family val="3"/>
          </rPr>
          <t xml:space="preserve">仕入れや販売のために要した交通費や宿泊代など。
</t>
        </r>
      </text>
    </comment>
    <comment ref="J10" authorId="1">
      <text>
        <r>
          <rPr>
            <sz val="9"/>
            <rFont val="ＭＳ Ｐゴシック"/>
            <family val="3"/>
          </rPr>
          <t xml:space="preserve">事業用のハガキ、切手代、電話料金など。
</t>
        </r>
      </text>
    </comment>
    <comment ref="J11" authorId="1">
      <text>
        <r>
          <rPr>
            <sz val="9"/>
            <rFont val="ＭＳ Ｐゴシック"/>
            <family val="3"/>
          </rPr>
          <t xml:space="preserve">新聞、雑誌の広告料、折込広告に要した印刷代や折込料、カレンダー作成費、大売出しの際の福引費用。
</t>
        </r>
      </text>
    </comment>
    <comment ref="J12" authorId="1">
      <text>
        <r>
          <rPr>
            <sz val="9"/>
            <rFont val="ＭＳ Ｐゴシック"/>
            <family val="3"/>
          </rPr>
          <t xml:space="preserve">事業用の茶菓子代、飲食費、贈答費用など。
</t>
        </r>
      </text>
    </comment>
    <comment ref="J13" authorId="1">
      <text>
        <r>
          <rPr>
            <sz val="9"/>
            <rFont val="ＭＳ Ｐゴシック"/>
            <family val="3"/>
          </rPr>
          <t xml:space="preserve">棚卸資産や事業用の資産に対する掛捨ての火災保険、事業用車両の損害保険料など。
</t>
        </r>
      </text>
    </comment>
    <comment ref="J14" authorId="1">
      <text>
        <r>
          <rPr>
            <sz val="9"/>
            <rFont val="ＭＳ Ｐゴシック"/>
            <family val="3"/>
          </rPr>
          <t xml:space="preserve">事業用の建物や機械器具などの修理に要した維持補修費用。
</t>
        </r>
      </text>
    </comment>
    <comment ref="J15" authorId="1">
      <text>
        <r>
          <rPr>
            <sz val="9"/>
            <rFont val="ＭＳ Ｐゴシック"/>
            <family val="3"/>
          </rPr>
          <t xml:space="preserve">　帳簿等の事務用品や包装紙、テープ、事業用車両のガソリン代、などの費用をいいます。
　器具備品のうち使用可能期間が１年未満のものや取得価額が１０万円未満の少額なもの。
</t>
        </r>
      </text>
    </comment>
    <comment ref="J16" authorId="1">
      <text>
        <r>
          <rPr>
            <sz val="9"/>
            <rFont val="ＭＳ Ｐゴシック"/>
            <family val="3"/>
          </rPr>
          <t xml:space="preserve">　従業員の慰安会費、医療費、保険料等で事業主が支払ったもの。
　保険料とは健康保険・厚生年金・雇用保険料や退職金共済制度に対する掛け金などで事業主が負担する費用
</t>
        </r>
      </text>
    </comment>
    <comment ref="J17" authorId="1">
      <text>
        <r>
          <rPr>
            <sz val="9"/>
            <rFont val="ＭＳ Ｐゴシック"/>
            <family val="3"/>
          </rPr>
          <t xml:space="preserve">　従業員に対する給料、賞与、現物支給した費用。
</t>
        </r>
      </text>
    </comment>
    <comment ref="J18" authorId="1">
      <text>
        <r>
          <rPr>
            <sz val="9"/>
            <rFont val="ＭＳ Ｐゴシック"/>
            <family val="3"/>
          </rPr>
          <t xml:space="preserve">事業用の借入金の支払い利子や受取手形の割引料。
</t>
        </r>
      </text>
    </comment>
    <comment ref="J19" authorId="1">
      <text>
        <r>
          <rPr>
            <sz val="9"/>
            <rFont val="ＭＳ Ｐゴシック"/>
            <family val="3"/>
          </rPr>
          <t xml:space="preserve">店舗、工場、倉庫、駐車場、等の地代や建物の賃借料。
</t>
        </r>
      </text>
    </comment>
    <comment ref="J20" authorId="1">
      <text>
        <r>
          <rPr>
            <sz val="9"/>
            <rFont val="ＭＳ Ｐゴシック"/>
            <family val="3"/>
          </rPr>
          <t xml:space="preserve">売掛金、受取手形、貸付金、前渡金などが取引先の倒産などにより回収不能になったもの 
</t>
        </r>
      </text>
    </comment>
    <comment ref="J21" authorId="1">
      <text>
        <r>
          <rPr>
            <sz val="9"/>
            <rFont val="ＭＳ Ｐゴシック"/>
            <family val="3"/>
          </rPr>
          <t xml:space="preserve">青色専従者給与に関する届出書」に記載した金額の範囲内で支給した金額 
</t>
        </r>
      </text>
    </comment>
    <comment ref="J23" authorId="1">
      <text>
        <r>
          <rPr>
            <sz val="9"/>
            <rFont val="ＭＳ Ｐゴシック"/>
            <family val="3"/>
          </rPr>
          <t xml:space="preserve">原材料などを支給して加工させた場合に支払う工賃。
</t>
        </r>
      </text>
    </comment>
    <comment ref="J28" authorId="1">
      <text>
        <r>
          <rPr>
            <sz val="9"/>
            <rFont val="ＭＳ Ｐゴシック"/>
            <family val="3"/>
          </rPr>
          <t xml:space="preserve">以上の費用のほか、事業に直接必要な経費。
</t>
        </r>
      </text>
    </comment>
    <comment ref="D5" authorId="2">
      <text>
        <r>
          <rPr>
            <sz val="9"/>
            <rFont val="ＭＳ Ｐゴシック"/>
            <family val="3"/>
          </rPr>
          <t>▼をクリックするとＪ欄下の枡の部分に登録した取引先が表示されます。</t>
        </r>
      </text>
    </comment>
    <comment ref="J7" authorId="1">
      <text>
        <r>
          <rPr>
            <sz val="9"/>
            <rFont val="ＭＳ Ｐゴシック"/>
            <family val="3"/>
          </rPr>
          <t>商品などの発送のために要した包装材料費、人件費、運賃、などで自分が負担するもの。</t>
        </r>
      </text>
    </comment>
    <comment ref="J24" authorId="0">
      <text>
        <r>
          <rPr>
            <sz val="9"/>
            <rFont val="ＭＳ Ｐゴシック"/>
            <family val="3"/>
          </rPr>
          <t>ここには良く使う勘定科目を自社専用の任意に設定して下さい。
例えば、購読料など
1月に入力するとすべてが変更されます。</t>
        </r>
      </text>
    </comment>
  </commentList>
</comments>
</file>

<file path=xl/comments8.xml><?xml version="1.0" encoding="utf-8"?>
<comments xmlns="http://schemas.openxmlformats.org/spreadsheetml/2006/main">
  <authors>
    <author>NEC-PCuser</author>
    <author>中尾　徹</author>
    <author>高石</author>
  </authors>
  <commentList>
    <comment ref="H4" authorId="0">
      <text>
        <r>
          <rPr>
            <sz val="9"/>
            <rFont val="ＭＳ Ｐゴシック"/>
            <family val="3"/>
          </rPr>
          <t xml:space="preserve">このセルだけは前月の繰越金を入力してください。
</t>
        </r>
      </text>
    </comment>
    <comment ref="O4" authorId="0">
      <text>
        <r>
          <rPr>
            <sz val="9"/>
            <rFont val="ＭＳ Ｐゴシック"/>
            <family val="3"/>
          </rPr>
          <t xml:space="preserve">１日の収入が自動計算されますので入力はしないで下さい。
</t>
        </r>
      </text>
    </comment>
    <comment ref="P4" authorId="0">
      <text>
        <r>
          <rPr>
            <b/>
            <sz val="9"/>
            <rFont val="ＭＳ Ｐゴシック"/>
            <family val="3"/>
          </rPr>
          <t>１日の支出が自動計算されますので入力はしないで下さい。</t>
        </r>
      </text>
    </comment>
    <comment ref="C5" authorId="0">
      <text>
        <r>
          <rPr>
            <sz val="9"/>
            <rFont val="ＭＳ Ｐゴシック"/>
            <family val="3"/>
          </rPr>
          <t xml:space="preserve">▼をクリックすると勘定科目が表示されますので選択すれば自動入力されて１ケ月の合計も自動計算されます。
</t>
        </r>
      </text>
    </comment>
    <comment ref="H5" authorId="0">
      <text>
        <r>
          <rPr>
            <sz val="9"/>
            <rFont val="ＭＳ Ｐゴシック"/>
            <family val="3"/>
          </rPr>
          <t xml:space="preserve">自動計算されますので、このセルには数字等を入力しないで下さい。
</t>
        </r>
      </text>
    </comment>
    <comment ref="J6" authorId="1">
      <text>
        <r>
          <rPr>
            <sz val="9"/>
            <rFont val="ＭＳ Ｐゴシック"/>
            <family val="3"/>
          </rPr>
          <t>　租税とは、事業税・固定資産税・自動車税・印紙税・納付消費税・自動車重量税・取得税等をいいます。
　但し、所得税・住民税・相続税・贈与税・各種加算税・延滞金などは経費にはなりません。
　公課とは、商工会議所の会費・納税協会・申告会会費・組合費等で経費となります。</t>
        </r>
      </text>
    </comment>
    <comment ref="J8" authorId="1">
      <text>
        <r>
          <rPr>
            <sz val="9"/>
            <rFont val="ＭＳ Ｐゴシック"/>
            <family val="3"/>
          </rPr>
          <t xml:space="preserve">　事業用に使用した水道、電気料、ガス代など。
　事業所と自宅が同じ場合は使用割合で計算して下さい。
</t>
        </r>
      </text>
    </comment>
    <comment ref="J9" authorId="1">
      <text>
        <r>
          <rPr>
            <sz val="9"/>
            <rFont val="ＭＳ Ｐゴシック"/>
            <family val="3"/>
          </rPr>
          <t xml:space="preserve">仕入れや販売のために要した交通費や宿泊代など。
</t>
        </r>
      </text>
    </comment>
    <comment ref="J10" authorId="1">
      <text>
        <r>
          <rPr>
            <sz val="9"/>
            <rFont val="ＭＳ Ｐゴシック"/>
            <family val="3"/>
          </rPr>
          <t xml:space="preserve">事業用のハガキ、切手代、電話料金など。
</t>
        </r>
      </text>
    </comment>
    <comment ref="J11" authorId="1">
      <text>
        <r>
          <rPr>
            <sz val="9"/>
            <rFont val="ＭＳ Ｐゴシック"/>
            <family val="3"/>
          </rPr>
          <t xml:space="preserve">新聞、雑誌の広告料、折込広告に要した印刷代や折込料、カレンダー作成費、大売出しの際の福引費用。
</t>
        </r>
      </text>
    </comment>
    <comment ref="J12" authorId="1">
      <text>
        <r>
          <rPr>
            <sz val="9"/>
            <rFont val="ＭＳ Ｐゴシック"/>
            <family val="3"/>
          </rPr>
          <t xml:space="preserve">事業用の茶菓子代、飲食費、贈答費用など。
</t>
        </r>
      </text>
    </comment>
    <comment ref="J13" authorId="1">
      <text>
        <r>
          <rPr>
            <sz val="9"/>
            <rFont val="ＭＳ Ｐゴシック"/>
            <family val="3"/>
          </rPr>
          <t xml:space="preserve">棚卸資産や事業用の資産に対する掛捨ての火災保険、事業用車両の損害保険料など。
</t>
        </r>
      </text>
    </comment>
    <comment ref="J14" authorId="1">
      <text>
        <r>
          <rPr>
            <sz val="9"/>
            <rFont val="ＭＳ Ｐゴシック"/>
            <family val="3"/>
          </rPr>
          <t xml:space="preserve">事業用の建物や機械器具などの修理に要した維持補修費用。
</t>
        </r>
      </text>
    </comment>
    <comment ref="J15" authorId="1">
      <text>
        <r>
          <rPr>
            <sz val="9"/>
            <rFont val="ＭＳ Ｐゴシック"/>
            <family val="3"/>
          </rPr>
          <t xml:space="preserve">　帳簿等の事務用品や包装紙、テープ、事業用車両のガソリン代、などの費用をいいます。
　器具備品のうち使用可能期間が１年未満のものや取得価額が１０万円未満の少額なもの。
</t>
        </r>
      </text>
    </comment>
    <comment ref="J16" authorId="1">
      <text>
        <r>
          <rPr>
            <sz val="9"/>
            <rFont val="ＭＳ Ｐゴシック"/>
            <family val="3"/>
          </rPr>
          <t xml:space="preserve">　従業員の慰安会費、医療費、保険料等で事業主が支払ったもの。
　保険料とは健康保険・厚生年金・雇用保険料や退職金共済制度に対する掛け金などで事業主が負担する費用
</t>
        </r>
      </text>
    </comment>
    <comment ref="J17" authorId="1">
      <text>
        <r>
          <rPr>
            <sz val="9"/>
            <rFont val="ＭＳ Ｐゴシック"/>
            <family val="3"/>
          </rPr>
          <t xml:space="preserve">　従業員に対する給料、賞与、現物支給した費用。
</t>
        </r>
      </text>
    </comment>
    <comment ref="J18" authorId="1">
      <text>
        <r>
          <rPr>
            <sz val="9"/>
            <rFont val="ＭＳ Ｐゴシック"/>
            <family val="3"/>
          </rPr>
          <t xml:space="preserve">事業用の借入金の支払い利子や受取手形の割引料。
</t>
        </r>
      </text>
    </comment>
    <comment ref="J19" authorId="1">
      <text>
        <r>
          <rPr>
            <sz val="9"/>
            <rFont val="ＭＳ Ｐゴシック"/>
            <family val="3"/>
          </rPr>
          <t xml:space="preserve">店舗、工場、倉庫、駐車場、等の地代や建物の賃借料。
</t>
        </r>
      </text>
    </comment>
    <comment ref="J20" authorId="1">
      <text>
        <r>
          <rPr>
            <sz val="9"/>
            <rFont val="ＭＳ Ｐゴシック"/>
            <family val="3"/>
          </rPr>
          <t xml:space="preserve">売掛金、受取手形、貸付金、前渡金などが取引先の倒産などにより回収不能になったもの 
</t>
        </r>
      </text>
    </comment>
    <comment ref="J21" authorId="1">
      <text>
        <r>
          <rPr>
            <sz val="9"/>
            <rFont val="ＭＳ Ｐゴシック"/>
            <family val="3"/>
          </rPr>
          <t xml:space="preserve">青色専従者給与に関する届出書」に記載した金額の範囲内で支給した金額 
</t>
        </r>
      </text>
    </comment>
    <comment ref="J23" authorId="1">
      <text>
        <r>
          <rPr>
            <sz val="9"/>
            <rFont val="ＭＳ Ｐゴシック"/>
            <family val="3"/>
          </rPr>
          <t xml:space="preserve">原材料などを支給して加工させた場合に支払う工賃。
</t>
        </r>
      </text>
    </comment>
    <comment ref="J28" authorId="1">
      <text>
        <r>
          <rPr>
            <sz val="9"/>
            <rFont val="ＭＳ Ｐゴシック"/>
            <family val="3"/>
          </rPr>
          <t xml:space="preserve">以上の費用のほか、事業に直接必要な経費。
</t>
        </r>
      </text>
    </comment>
    <comment ref="D5" authorId="2">
      <text>
        <r>
          <rPr>
            <sz val="9"/>
            <rFont val="ＭＳ Ｐゴシック"/>
            <family val="3"/>
          </rPr>
          <t>▼をクリックするとＪ欄下の枡の部分に登録した取引先が表示されます。</t>
        </r>
      </text>
    </comment>
    <comment ref="J7" authorId="1">
      <text>
        <r>
          <rPr>
            <sz val="9"/>
            <rFont val="ＭＳ Ｐゴシック"/>
            <family val="3"/>
          </rPr>
          <t>商品などの発送のために要した包装材料費、人件費、運賃、などで自分が負担するもの。</t>
        </r>
      </text>
    </comment>
    <comment ref="J24" authorId="0">
      <text>
        <r>
          <rPr>
            <sz val="9"/>
            <rFont val="ＭＳ Ｐゴシック"/>
            <family val="3"/>
          </rPr>
          <t>ここには良く使う勘定科目を自社専用の任意に設定して下さい。
例えば、購読料など
1月に入力するとすべてが変更されます。</t>
        </r>
      </text>
    </comment>
  </commentList>
</comments>
</file>

<file path=xl/comments9.xml><?xml version="1.0" encoding="utf-8"?>
<comments xmlns="http://schemas.openxmlformats.org/spreadsheetml/2006/main">
  <authors>
    <author>NEC-PCuser</author>
    <author>中尾　徹</author>
    <author>高石</author>
  </authors>
  <commentList>
    <comment ref="H4" authorId="0">
      <text>
        <r>
          <rPr>
            <sz val="9"/>
            <rFont val="ＭＳ Ｐゴシック"/>
            <family val="3"/>
          </rPr>
          <t xml:space="preserve">このセルだけは前月の繰越金を入力してください。
</t>
        </r>
      </text>
    </comment>
    <comment ref="O4" authorId="0">
      <text>
        <r>
          <rPr>
            <sz val="9"/>
            <rFont val="ＭＳ Ｐゴシック"/>
            <family val="3"/>
          </rPr>
          <t xml:space="preserve">１日の収入が自動計算されますので入力はしないで下さい。
</t>
        </r>
      </text>
    </comment>
    <comment ref="P4" authorId="0">
      <text>
        <r>
          <rPr>
            <b/>
            <sz val="9"/>
            <rFont val="ＭＳ Ｐゴシック"/>
            <family val="3"/>
          </rPr>
          <t>１日の支出が自動計算されますので入力はしないで下さい。</t>
        </r>
      </text>
    </comment>
    <comment ref="C5" authorId="0">
      <text>
        <r>
          <rPr>
            <sz val="9"/>
            <rFont val="ＭＳ Ｐゴシック"/>
            <family val="3"/>
          </rPr>
          <t xml:space="preserve">▼をクリックすると勘定科目が表示されますので選択すれば自動入力されて１ケ月の合計も自動計算されます。
</t>
        </r>
      </text>
    </comment>
    <comment ref="H5" authorId="0">
      <text>
        <r>
          <rPr>
            <sz val="9"/>
            <rFont val="ＭＳ Ｐゴシック"/>
            <family val="3"/>
          </rPr>
          <t xml:space="preserve">自動計算されますので、このセルには数字等を入力しないで下さい。
</t>
        </r>
      </text>
    </comment>
    <comment ref="J6" authorId="1">
      <text>
        <r>
          <rPr>
            <sz val="9"/>
            <rFont val="ＭＳ Ｐゴシック"/>
            <family val="3"/>
          </rPr>
          <t>　租税とは、事業税・固定資産税・自動車税・印紙税・納付消費税・自動車重量税・取得税等をいいます。
　但し、所得税・住民税・相続税・贈与税・各種加算税・延滞金などは経費にはなりません。
　公課とは、商工会議所の会費・納税協会・申告会会費・組合費等で経費となります。</t>
        </r>
      </text>
    </comment>
    <comment ref="J8" authorId="1">
      <text>
        <r>
          <rPr>
            <sz val="9"/>
            <rFont val="ＭＳ Ｐゴシック"/>
            <family val="3"/>
          </rPr>
          <t xml:space="preserve">　事業用に使用した水道、電気料、ガス代など。
　事業所と自宅が同じ場合は使用割合で計算して下さい。
</t>
        </r>
      </text>
    </comment>
    <comment ref="J9" authorId="1">
      <text>
        <r>
          <rPr>
            <sz val="9"/>
            <rFont val="ＭＳ Ｐゴシック"/>
            <family val="3"/>
          </rPr>
          <t xml:space="preserve">仕入れや販売のために要した交通費や宿泊代など。
</t>
        </r>
      </text>
    </comment>
    <comment ref="J10" authorId="1">
      <text>
        <r>
          <rPr>
            <sz val="9"/>
            <rFont val="ＭＳ Ｐゴシック"/>
            <family val="3"/>
          </rPr>
          <t xml:space="preserve">事業用のハガキ、切手代、電話料金など。
</t>
        </r>
      </text>
    </comment>
    <comment ref="J11" authorId="1">
      <text>
        <r>
          <rPr>
            <sz val="9"/>
            <rFont val="ＭＳ Ｐゴシック"/>
            <family val="3"/>
          </rPr>
          <t xml:space="preserve">新聞、雑誌の広告料、折込広告に要した印刷代や折込料、カレンダー作成費、大売出しの際の福引費用。
</t>
        </r>
      </text>
    </comment>
    <comment ref="J12" authorId="1">
      <text>
        <r>
          <rPr>
            <sz val="9"/>
            <rFont val="ＭＳ Ｐゴシック"/>
            <family val="3"/>
          </rPr>
          <t xml:space="preserve">事業用の茶菓子代、飲食費、贈答費用など。
</t>
        </r>
      </text>
    </comment>
    <comment ref="J13" authorId="1">
      <text>
        <r>
          <rPr>
            <sz val="9"/>
            <rFont val="ＭＳ Ｐゴシック"/>
            <family val="3"/>
          </rPr>
          <t xml:space="preserve">棚卸資産や事業用の資産に対する掛捨ての火災保険、事業用車両の損害保険料など。
</t>
        </r>
      </text>
    </comment>
    <comment ref="J14" authorId="1">
      <text>
        <r>
          <rPr>
            <sz val="9"/>
            <rFont val="ＭＳ Ｐゴシック"/>
            <family val="3"/>
          </rPr>
          <t xml:space="preserve">事業用の建物や機械器具などの修理に要した維持補修費用。
</t>
        </r>
      </text>
    </comment>
    <comment ref="J15" authorId="1">
      <text>
        <r>
          <rPr>
            <sz val="9"/>
            <rFont val="ＭＳ Ｐゴシック"/>
            <family val="3"/>
          </rPr>
          <t xml:space="preserve">　帳簿等の事務用品や包装紙、テープ、事業用車両のガソリン代、などの費用をいいます。
　器具備品のうち使用可能期間が１年未満のものや取得価額が１０万円未満の少額なもの。
</t>
        </r>
      </text>
    </comment>
    <comment ref="J16" authorId="1">
      <text>
        <r>
          <rPr>
            <sz val="9"/>
            <rFont val="ＭＳ Ｐゴシック"/>
            <family val="3"/>
          </rPr>
          <t xml:space="preserve">　従業員の慰安会費、医療費、保険料等で事業主が支払ったもの。
　保険料とは健康保険・厚生年金・雇用保険料や退職金共済制度に対する掛け金などで事業主が負担する費用
</t>
        </r>
      </text>
    </comment>
    <comment ref="J17" authorId="1">
      <text>
        <r>
          <rPr>
            <sz val="9"/>
            <rFont val="ＭＳ Ｐゴシック"/>
            <family val="3"/>
          </rPr>
          <t xml:space="preserve">　従業員に対する給料、賞与、現物支給した費用。
</t>
        </r>
      </text>
    </comment>
    <comment ref="J18" authorId="1">
      <text>
        <r>
          <rPr>
            <sz val="9"/>
            <rFont val="ＭＳ Ｐゴシック"/>
            <family val="3"/>
          </rPr>
          <t xml:space="preserve">事業用の借入金の支払い利子や受取手形の割引料。
</t>
        </r>
      </text>
    </comment>
    <comment ref="J19" authorId="1">
      <text>
        <r>
          <rPr>
            <sz val="9"/>
            <rFont val="ＭＳ Ｐゴシック"/>
            <family val="3"/>
          </rPr>
          <t xml:space="preserve">店舗、工場、倉庫、駐車場、等の地代や建物の賃借料。
</t>
        </r>
      </text>
    </comment>
    <comment ref="J20" authorId="1">
      <text>
        <r>
          <rPr>
            <sz val="9"/>
            <rFont val="ＭＳ Ｐゴシック"/>
            <family val="3"/>
          </rPr>
          <t xml:space="preserve">売掛金、受取手形、貸付金、前渡金などが取引先の倒産などにより回収不能になったもの 
</t>
        </r>
      </text>
    </comment>
    <comment ref="J21" authorId="1">
      <text>
        <r>
          <rPr>
            <sz val="9"/>
            <rFont val="ＭＳ Ｐゴシック"/>
            <family val="3"/>
          </rPr>
          <t xml:space="preserve">青色専従者給与に関する届出書」に記載した金額の範囲内で支給した金額 
</t>
        </r>
      </text>
    </comment>
    <comment ref="J23" authorId="1">
      <text>
        <r>
          <rPr>
            <sz val="9"/>
            <rFont val="ＭＳ Ｐゴシック"/>
            <family val="3"/>
          </rPr>
          <t xml:space="preserve">原材料などを支給して加工させた場合に支払う工賃。
</t>
        </r>
      </text>
    </comment>
    <comment ref="J28" authorId="1">
      <text>
        <r>
          <rPr>
            <sz val="9"/>
            <rFont val="ＭＳ Ｐゴシック"/>
            <family val="3"/>
          </rPr>
          <t xml:space="preserve">以上の費用のほか、事業に直接必要な経費。
</t>
        </r>
      </text>
    </comment>
    <comment ref="D5" authorId="2">
      <text>
        <r>
          <rPr>
            <sz val="9"/>
            <rFont val="ＭＳ Ｐゴシック"/>
            <family val="3"/>
          </rPr>
          <t>▼をクリックするとＪ欄下の枡の部分に登録した取引先が表示されます。</t>
        </r>
      </text>
    </comment>
    <comment ref="J7" authorId="1">
      <text>
        <r>
          <rPr>
            <sz val="9"/>
            <rFont val="ＭＳ Ｐゴシック"/>
            <family val="3"/>
          </rPr>
          <t>商品などの発送のために要した包装材料費、人件費、運賃、などで自分が負担するもの。</t>
        </r>
      </text>
    </comment>
    <comment ref="J24" authorId="0">
      <text>
        <r>
          <rPr>
            <sz val="9"/>
            <rFont val="ＭＳ Ｐゴシック"/>
            <family val="3"/>
          </rPr>
          <t>ここには良く使う勘定科目を自社専用の任意に設定して下さい。
例えば、購読料など
1月に入力するとすべてが変更されます。</t>
        </r>
      </text>
    </comment>
  </commentList>
</comments>
</file>

<file path=xl/sharedStrings.xml><?xml version="1.0" encoding="utf-8"?>
<sst xmlns="http://schemas.openxmlformats.org/spreadsheetml/2006/main" count="1645" uniqueCount="88">
  <si>
    <t>１月分</t>
  </si>
  <si>
    <t>日付</t>
  </si>
  <si>
    <t>勘定科目</t>
  </si>
  <si>
    <t>収入支出先名称</t>
  </si>
  <si>
    <t>摘要</t>
  </si>
  <si>
    <t>収入</t>
  </si>
  <si>
    <t>支出</t>
  </si>
  <si>
    <t>残高</t>
  </si>
  <si>
    <t>次月繰越　</t>
  </si>
  <si>
    <t>現金出納帳</t>
  </si>
  <si>
    <t>売上</t>
  </si>
  <si>
    <t>仕入</t>
  </si>
  <si>
    <t>租税公課</t>
  </si>
  <si>
    <t>荷造運賃</t>
  </si>
  <si>
    <t>水道光熱費</t>
  </si>
  <si>
    <t>旅費交通費</t>
  </si>
  <si>
    <t>通信費</t>
  </si>
  <si>
    <t>広告宣伝費</t>
  </si>
  <si>
    <t>接待交際費</t>
  </si>
  <si>
    <t>損害保険料</t>
  </si>
  <si>
    <t>修繕費</t>
  </si>
  <si>
    <t>消耗品費</t>
  </si>
  <si>
    <t>福利厚生費</t>
  </si>
  <si>
    <t>給与賃金</t>
  </si>
  <si>
    <t>利子割引料</t>
  </si>
  <si>
    <t>地代家賃</t>
  </si>
  <si>
    <t>貸倒金</t>
  </si>
  <si>
    <t>専従者給与</t>
  </si>
  <si>
    <t>リース料</t>
  </si>
  <si>
    <t>外注費</t>
  </si>
  <si>
    <t>雑費</t>
  </si>
  <si>
    <t>入金</t>
  </si>
  <si>
    <t>その他支払い</t>
  </si>
  <si>
    <t xml:space="preserve"> </t>
  </si>
  <si>
    <t>　</t>
  </si>
  <si>
    <t>前月繰越金</t>
  </si>
  <si>
    <t>年月日</t>
  </si>
  <si>
    <t>曜日</t>
  </si>
  <si>
    <t>収入</t>
  </si>
  <si>
    <t>支出</t>
  </si>
  <si>
    <t>２月分</t>
  </si>
  <si>
    <t>製造原価</t>
  </si>
  <si>
    <t>経費合計</t>
  </si>
  <si>
    <t>利益</t>
  </si>
  <si>
    <t>３月分</t>
  </si>
  <si>
    <t>４月分</t>
  </si>
  <si>
    <t>５月分</t>
  </si>
  <si>
    <t>６月分</t>
  </si>
  <si>
    <t>７月分</t>
  </si>
  <si>
    <t>８月分</t>
  </si>
  <si>
    <t>９月分</t>
  </si>
  <si>
    <t>１０月分</t>
  </si>
  <si>
    <t>１１月分</t>
  </si>
  <si>
    <t>１２月分</t>
  </si>
  <si>
    <t>１月</t>
  </si>
  <si>
    <t>２月</t>
  </si>
  <si>
    <t>３月</t>
  </si>
  <si>
    <t>４月</t>
  </si>
  <si>
    <t>５月</t>
  </si>
  <si>
    <t>６月</t>
  </si>
  <si>
    <t>７月</t>
  </si>
  <si>
    <t>８月</t>
  </si>
  <si>
    <t>９月</t>
  </si>
  <si>
    <t>１０月</t>
  </si>
  <si>
    <t>１１月</t>
  </si>
  <si>
    <t>１２月</t>
  </si>
  <si>
    <t>日</t>
  </si>
  <si>
    <t>月</t>
  </si>
  <si>
    <t>火</t>
  </si>
  <si>
    <t>水</t>
  </si>
  <si>
    <t>木</t>
  </si>
  <si>
    <t>金</t>
  </si>
  <si>
    <t>土</t>
  </si>
  <si>
    <t>年間合計</t>
  </si>
  <si>
    <t>火</t>
  </si>
  <si>
    <t>下の枡の部分に多い取引先を入力してください。収入支出先名称に自動的に入ります。</t>
  </si>
  <si>
    <t>現在は支払に対応していますので</t>
  </si>
  <si>
    <t>売上先を対象とする場合は集計の数式を</t>
  </si>
  <si>
    <t>変更する必要があります。</t>
  </si>
  <si>
    <t>日</t>
  </si>
  <si>
    <t>土</t>
  </si>
  <si>
    <t>木</t>
  </si>
  <si>
    <t>金</t>
  </si>
  <si>
    <t>月</t>
  </si>
  <si>
    <t>金</t>
  </si>
  <si>
    <t>水</t>
  </si>
  <si>
    <t>木</t>
  </si>
  <si>
    <t>火</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</si>
</sst>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ggge&quot;年&quot;m&quot;月&quot;d&quot;日&quot;;@"/>
    <numFmt numFmtId="178" formatCode="[$-411]gge&quot;年&quot;m&quot;月&quot;d&quot;日&quot;;@"/>
    <numFmt numFmtId="179" formatCode="[$]gge&quot;年&quot;m&quot;月&quot;d&quot;日&quot;;@"/>
  </numFmts>
  <fonts count="51">
    <font>
      <sz val="11"/>
      <name val="ＭＳ Ｐゴシック"/>
      <family val="3"/>
    </font>
    <font>
      <sz val="8"/>
      <name val="Verdana"/>
      <family val="2"/>
    </font>
    <font>
      <b/>
      <sz val="8"/>
      <color indexed="23"/>
      <name val="Verdana"/>
      <family val="2"/>
    </font>
    <font>
      <sz val="16"/>
      <color indexed="9"/>
      <name val="Tahoma"/>
      <family val="2"/>
    </font>
    <font>
      <u val="single"/>
      <sz val="11"/>
      <color indexed="12"/>
      <name val="ＭＳ 明朝"/>
      <family val="1"/>
    </font>
    <font>
      <sz val="11"/>
      <name val="ＭＳ 明朝"/>
      <family val="1"/>
    </font>
    <font>
      <u val="single"/>
      <sz val="11"/>
      <color indexed="36"/>
      <name val="ＭＳ Ｐゴシック"/>
      <family val="3"/>
    </font>
    <font>
      <sz val="6"/>
      <name val="ＭＳ Ｐゴシック"/>
      <family val="3"/>
    </font>
    <font>
      <sz val="18"/>
      <color indexed="39"/>
      <name val="ＭＳ 明朝"/>
      <family val="1"/>
    </font>
    <font>
      <sz val="11"/>
      <color indexed="25"/>
      <name val="ＭＳ 明朝"/>
      <family val="1"/>
    </font>
    <font>
      <sz val="11"/>
      <color indexed="18"/>
      <name val="ＭＳ ゴシック"/>
      <family val="3"/>
    </font>
    <font>
      <sz val="11"/>
      <color indexed="10"/>
      <name val="ＭＳ ゴシック"/>
      <family val="3"/>
    </font>
    <font>
      <sz val="11"/>
      <name val="ＭＳ ゴシック"/>
      <family val="3"/>
    </font>
    <font>
      <sz val="9"/>
      <name val="ＭＳ Ｐゴシック"/>
      <family val="3"/>
    </font>
    <font>
      <b/>
      <sz val="9"/>
      <name val="ＭＳ Ｐゴシック"/>
      <family val="3"/>
    </font>
    <font>
      <sz val="10"/>
      <name val="ＭＳ Ｐゴシック"/>
      <family val="3"/>
    </font>
    <font>
      <sz val="16"/>
      <color indexed="4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5"/>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20" borderId="0" applyBorder="0">
      <alignment horizontal="left" vertical="center" indent="1"/>
      <protection/>
    </xf>
    <xf numFmtId="0" fontId="2" fillId="21" borderId="0">
      <alignment horizontal="left" indent="1"/>
      <protection/>
    </xf>
    <xf numFmtId="0" fontId="3" fillId="20" borderId="0">
      <alignment horizontal="left" indent="1"/>
      <protection/>
    </xf>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5" fillId="0" borderId="0" applyNumberFormat="0" applyFill="0" applyBorder="0" applyAlignment="0" applyProtection="0"/>
    <xf numFmtId="0" fontId="36" fillId="28" borderId="1" applyNumberFormat="0" applyAlignment="0" applyProtection="0"/>
    <xf numFmtId="0" fontId="37" fillId="29"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30" borderId="2" applyNumberFormat="0" applyFont="0" applyAlignment="0" applyProtection="0"/>
    <xf numFmtId="0" fontId="38" fillId="0" borderId="3" applyNumberFormat="0" applyFill="0" applyAlignment="0" applyProtection="0"/>
    <xf numFmtId="0" fontId="39" fillId="31" borderId="0" applyNumberFormat="0" applyBorder="0" applyAlignment="0" applyProtection="0"/>
    <xf numFmtId="0" fontId="40" fillId="32"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3" borderId="4" applyNumberFormat="0" applyAlignment="0" applyProtection="0"/>
    <xf numFmtId="0" fontId="5" fillId="0" borderId="0">
      <alignment/>
      <protection/>
    </xf>
    <xf numFmtId="0" fontId="6" fillId="0" borderId="0" applyNumberFormat="0" applyFill="0" applyBorder="0" applyAlignment="0" applyProtection="0"/>
    <xf numFmtId="0" fontId="49" fillId="34" borderId="0" applyNumberFormat="0" applyBorder="0" applyAlignment="0" applyProtection="0"/>
  </cellStyleXfs>
  <cellXfs count="43">
    <xf numFmtId="0" fontId="0" fillId="0" borderId="0" xfId="0" applyAlignment="1">
      <alignment/>
    </xf>
    <xf numFmtId="0" fontId="5" fillId="0" borderId="0" xfId="64" applyFont="1">
      <alignment/>
      <protection/>
    </xf>
    <xf numFmtId="0" fontId="9" fillId="0" borderId="0" xfId="64" applyFont="1" applyFill="1" applyBorder="1" applyAlignment="1">
      <alignment/>
      <protection/>
    </xf>
    <xf numFmtId="38" fontId="0" fillId="0" borderId="0" xfId="52" applyAlignment="1">
      <alignment/>
    </xf>
    <xf numFmtId="0" fontId="5" fillId="0" borderId="0" xfId="64" applyFont="1" applyAlignment="1">
      <alignment horizontal="right"/>
      <protection/>
    </xf>
    <xf numFmtId="0" fontId="10" fillId="35" borderId="10" xfId="64" applyFont="1" applyFill="1" applyBorder="1" applyAlignment="1">
      <alignment horizontal="center" vertical="center"/>
      <protection/>
    </xf>
    <xf numFmtId="0" fontId="10" fillId="35" borderId="11" xfId="64" applyFont="1" applyFill="1" applyBorder="1" applyAlignment="1">
      <alignment horizontal="center" vertical="center"/>
      <protection/>
    </xf>
    <xf numFmtId="0" fontId="10" fillId="35" borderId="12" xfId="64" applyFont="1" applyFill="1" applyBorder="1" applyAlignment="1">
      <alignment horizontal="center" vertical="center"/>
      <protection/>
    </xf>
    <xf numFmtId="0" fontId="10" fillId="35" borderId="13" xfId="64" applyFont="1" applyFill="1" applyBorder="1" applyAlignment="1">
      <alignment horizontal="center" vertical="center"/>
      <protection/>
    </xf>
    <xf numFmtId="0" fontId="11" fillId="35" borderId="10" xfId="64" applyFont="1" applyFill="1" applyBorder="1" applyAlignment="1">
      <alignment horizontal="center" vertical="center"/>
      <protection/>
    </xf>
    <xf numFmtId="56" fontId="5" fillId="0" borderId="14" xfId="64" applyNumberFormat="1" applyFont="1" applyBorder="1" applyAlignment="1" applyProtection="1">
      <alignment horizontal="right"/>
      <protection locked="0"/>
    </xf>
    <xf numFmtId="0" fontId="5" fillId="0" borderId="15" xfId="64" applyFont="1" applyBorder="1" applyProtection="1">
      <alignment/>
      <protection locked="0"/>
    </xf>
    <xf numFmtId="0" fontId="5" fillId="0" borderId="16" xfId="64" applyFont="1" applyBorder="1" applyProtection="1">
      <alignment/>
      <protection locked="0"/>
    </xf>
    <xf numFmtId="3" fontId="5" fillId="0" borderId="17" xfId="64" applyNumberFormat="1" applyFont="1" applyBorder="1" applyProtection="1">
      <alignment/>
      <protection locked="0"/>
    </xf>
    <xf numFmtId="3" fontId="5" fillId="0" borderId="14" xfId="64" applyNumberFormat="1" applyFont="1" applyBorder="1">
      <alignment/>
      <protection/>
    </xf>
    <xf numFmtId="0" fontId="5" fillId="0" borderId="0" xfId="64">
      <alignment/>
      <protection/>
    </xf>
    <xf numFmtId="17" fontId="5" fillId="0" borderId="16" xfId="64" applyNumberFormat="1" applyFont="1" applyBorder="1" applyProtection="1">
      <alignment/>
      <protection locked="0"/>
    </xf>
    <xf numFmtId="0" fontId="12" fillId="35" borderId="18" xfId="64" applyFont="1" applyFill="1" applyBorder="1" applyAlignment="1">
      <alignment horizontal="center"/>
      <protection/>
    </xf>
    <xf numFmtId="0" fontId="12" fillId="35" borderId="19" xfId="64" applyFont="1" applyFill="1" applyBorder="1">
      <alignment/>
      <protection/>
    </xf>
    <xf numFmtId="0" fontId="11" fillId="35" borderId="20" xfId="64" applyFont="1" applyFill="1" applyBorder="1" applyAlignment="1">
      <alignment horizontal="right" vertical="center"/>
      <protection/>
    </xf>
    <xf numFmtId="3" fontId="5" fillId="0" borderId="11" xfId="64" applyNumberFormat="1" applyFont="1" applyBorder="1">
      <alignment/>
      <protection/>
    </xf>
    <xf numFmtId="3" fontId="5" fillId="0" borderId="10" xfId="64" applyNumberFormat="1" applyFont="1" applyBorder="1">
      <alignment/>
      <protection/>
    </xf>
    <xf numFmtId="0" fontId="5" fillId="0" borderId="17" xfId="64" applyNumberFormat="1" applyFont="1" applyBorder="1" applyProtection="1">
      <alignment/>
      <protection locked="0"/>
    </xf>
    <xf numFmtId="56" fontId="0" fillId="0" borderId="0" xfId="52" applyNumberFormat="1" applyAlignment="1">
      <alignment/>
    </xf>
    <xf numFmtId="56" fontId="0" fillId="0" borderId="0" xfId="52" applyNumberFormat="1" applyFont="1" applyAlignment="1">
      <alignment/>
    </xf>
    <xf numFmtId="38" fontId="0" fillId="0" borderId="0" xfId="0" applyNumberFormat="1" applyAlignment="1">
      <alignment/>
    </xf>
    <xf numFmtId="0" fontId="0" fillId="0" borderId="0" xfId="0" applyAlignment="1">
      <alignment horizontal="center"/>
    </xf>
    <xf numFmtId="0" fontId="0" fillId="0" borderId="17" xfId="0" applyBorder="1" applyAlignment="1">
      <alignment/>
    </xf>
    <xf numFmtId="38" fontId="0" fillId="0" borderId="17" xfId="52" applyBorder="1" applyAlignment="1">
      <alignment/>
    </xf>
    <xf numFmtId="38" fontId="0" fillId="0" borderId="17" xfId="52" applyFont="1" applyBorder="1" applyAlignment="1">
      <alignment horizontal="center"/>
    </xf>
    <xf numFmtId="0" fontId="0" fillId="0" borderId="17" xfId="0" applyBorder="1" applyAlignment="1">
      <alignment horizontal="center"/>
    </xf>
    <xf numFmtId="56" fontId="0" fillId="0" borderId="17" xfId="52" applyNumberFormat="1" applyBorder="1" applyAlignment="1">
      <alignment/>
    </xf>
    <xf numFmtId="38" fontId="0" fillId="0" borderId="17" xfId="0" applyNumberFormat="1" applyBorder="1" applyAlignment="1">
      <alignment/>
    </xf>
    <xf numFmtId="38" fontId="0" fillId="0" borderId="21" xfId="52" applyBorder="1" applyAlignment="1">
      <alignment/>
    </xf>
    <xf numFmtId="38" fontId="0" fillId="0" borderId="21" xfId="0" applyNumberFormat="1" applyBorder="1" applyAlignment="1">
      <alignment/>
    </xf>
    <xf numFmtId="0" fontId="0" fillId="0" borderId="0" xfId="0" applyBorder="1" applyAlignment="1">
      <alignment/>
    </xf>
    <xf numFmtId="56" fontId="0" fillId="0" borderId="17" xfId="52" applyNumberFormat="1" applyFont="1" applyFill="1" applyBorder="1" applyAlignment="1">
      <alignment horizontal="center"/>
    </xf>
    <xf numFmtId="0" fontId="16" fillId="0" borderId="0" xfId="64" applyFont="1" applyFill="1" applyBorder="1" applyAlignment="1">
      <alignment/>
      <protection/>
    </xf>
    <xf numFmtId="0" fontId="8" fillId="0" borderId="0" xfId="64" applyFont="1" applyFill="1" applyBorder="1" applyAlignment="1">
      <alignment/>
      <protection/>
    </xf>
    <xf numFmtId="0" fontId="0" fillId="0" borderId="0" xfId="0" applyAlignment="1">
      <alignment/>
    </xf>
    <xf numFmtId="0" fontId="15" fillId="0" borderId="0" xfId="0" applyFont="1" applyAlignment="1">
      <alignment vertical="top" wrapText="1"/>
    </xf>
    <xf numFmtId="0" fontId="15" fillId="0" borderId="22" xfId="0" applyFont="1" applyBorder="1" applyAlignment="1">
      <alignment vertical="top" wrapText="1"/>
    </xf>
    <xf numFmtId="56" fontId="0" fillId="0" borderId="17" xfId="52" applyNumberFormat="1" applyFont="1" applyBorder="1" applyAlignment="1">
      <alignment horizont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Body text" xfId="33"/>
    <cellStyle name="NonPrint_Heading" xfId="34"/>
    <cellStyle name="Product Title"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Hyperlink"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dimension ref="A1:Q92"/>
  <sheetViews>
    <sheetView tabSelected="1" zoomScalePageLayoutView="0" workbookViewId="0" topLeftCell="A1">
      <selection activeCell="I29" sqref="I29"/>
    </sheetView>
  </sheetViews>
  <sheetFormatPr defaultColWidth="9.00390625" defaultRowHeight="13.5"/>
  <cols>
    <col min="3" max="3" width="10.875" style="0" customWidth="1"/>
    <col min="4" max="4" width="18.125" style="0" customWidth="1"/>
    <col min="5" max="5" width="22.25390625" style="0" customWidth="1"/>
    <col min="6" max="7" width="11.875" style="0" customWidth="1"/>
    <col min="8" max="8" width="13.125" style="0" customWidth="1"/>
    <col min="10" max="10" width="12.75390625" style="0" bestFit="1" customWidth="1"/>
    <col min="14" max="14" width="5.25390625" style="26" bestFit="1" customWidth="1"/>
  </cols>
  <sheetData>
    <row r="1" spans="1:11" ht="23.25">
      <c r="A1" s="1"/>
      <c r="B1" s="38" t="s">
        <v>9</v>
      </c>
      <c r="C1" s="39"/>
      <c r="D1" s="37"/>
      <c r="E1" s="2"/>
      <c r="F1" s="2"/>
      <c r="G1" s="2"/>
      <c r="H1" s="2"/>
      <c r="K1" s="3"/>
    </row>
    <row r="2" spans="1:11" ht="15" thickBot="1">
      <c r="A2" s="1"/>
      <c r="B2" s="1"/>
      <c r="C2" s="1"/>
      <c r="D2" s="1"/>
      <c r="E2" s="1"/>
      <c r="F2" s="1"/>
      <c r="G2" s="1"/>
      <c r="H2" s="4" t="s">
        <v>0</v>
      </c>
      <c r="K2" s="3"/>
    </row>
    <row r="3" spans="1:17" ht="15" thickBot="1">
      <c r="A3" s="1"/>
      <c r="B3" s="5" t="s">
        <v>1</v>
      </c>
      <c r="C3" s="6" t="s">
        <v>2</v>
      </c>
      <c r="D3" s="7" t="s">
        <v>3</v>
      </c>
      <c r="E3" s="8" t="s">
        <v>4</v>
      </c>
      <c r="F3" s="6" t="s">
        <v>5</v>
      </c>
      <c r="G3" s="6" t="s">
        <v>6</v>
      </c>
      <c r="H3" s="9" t="s">
        <v>7</v>
      </c>
      <c r="J3" s="27" t="s">
        <v>10</v>
      </c>
      <c r="K3" s="28">
        <f>SUMIF($C$5:$C$91,J3,$F$5:$F$91)</f>
        <v>0</v>
      </c>
      <c r="M3" s="29" t="s">
        <v>36</v>
      </c>
      <c r="N3" s="29" t="s">
        <v>37</v>
      </c>
      <c r="O3" s="30" t="s">
        <v>38</v>
      </c>
      <c r="P3" s="30" t="s">
        <v>39</v>
      </c>
      <c r="Q3" s="27"/>
    </row>
    <row r="4" spans="1:17" ht="14.25">
      <c r="A4" s="1"/>
      <c r="B4" s="10"/>
      <c r="C4" s="22" t="s">
        <v>33</v>
      </c>
      <c r="D4" s="11"/>
      <c r="E4" s="12" t="s">
        <v>35</v>
      </c>
      <c r="F4" s="13"/>
      <c r="G4" s="13"/>
      <c r="H4" s="14"/>
      <c r="J4" s="27" t="s">
        <v>11</v>
      </c>
      <c r="K4" s="28">
        <f>SUMIF($C$5:$C$91,J4,$G$5:$G$91)</f>
        <v>0</v>
      </c>
      <c r="M4" s="31">
        <v>40544</v>
      </c>
      <c r="N4" s="42" t="s">
        <v>80</v>
      </c>
      <c r="O4" s="28">
        <f>SUMIF($B$5:$B$91,"１月1日",$F$5:$F$91)</f>
        <v>0</v>
      </c>
      <c r="P4" s="28">
        <f>SUMIF($B$5:$B$91,"１月1日",$G$5:$G$91)</f>
        <v>0</v>
      </c>
      <c r="Q4" s="32">
        <f>O4-P4</f>
        <v>0</v>
      </c>
    </row>
    <row r="5" spans="1:17" ht="14.25">
      <c r="A5" s="1"/>
      <c r="B5" s="10"/>
      <c r="C5" s="22" t="s">
        <v>33</v>
      </c>
      <c r="D5" s="11"/>
      <c r="E5" s="12"/>
      <c r="F5" s="13"/>
      <c r="G5" s="13"/>
      <c r="H5" s="14">
        <f>IF(OR(H4="",AND(F5="",G5="")),"",H4+F5-G5)</f>
      </c>
      <c r="J5" s="27" t="s">
        <v>41</v>
      </c>
      <c r="K5" s="28">
        <f>K3-K4</f>
        <v>0</v>
      </c>
      <c r="M5" s="31">
        <v>40545</v>
      </c>
      <c r="N5" s="42" t="s">
        <v>66</v>
      </c>
      <c r="O5" s="28">
        <f>SUMIF($B$5:$B$91,"１月2日",$F$5:$F$91)</f>
        <v>0</v>
      </c>
      <c r="P5" s="28">
        <f>SUMIF($B$5:$B$91,"１月2日",$G$5:$G$91)</f>
        <v>0</v>
      </c>
      <c r="Q5" s="32">
        <f aca="true" t="shared" si="0" ref="Q5:Q35">O5-P5</f>
        <v>0</v>
      </c>
    </row>
    <row r="6" spans="1:17" ht="14.25">
      <c r="A6" s="1"/>
      <c r="B6" s="10"/>
      <c r="C6" s="22" t="s">
        <v>33</v>
      </c>
      <c r="D6" s="11"/>
      <c r="E6" s="12"/>
      <c r="F6" s="13"/>
      <c r="G6" s="13"/>
      <c r="H6" s="14">
        <f aca="true" t="shared" si="1" ref="H6:H69">IF(OR(H5="",AND(F6="",G6="")),"",H5+F6-G6)</f>
      </c>
      <c r="J6" s="27" t="s">
        <v>12</v>
      </c>
      <c r="K6" s="28">
        <f>SUMIF($C$5:$C$91,J6,$G$5:$G$91)</f>
        <v>0</v>
      </c>
      <c r="M6" s="31">
        <v>40546</v>
      </c>
      <c r="N6" s="42" t="s">
        <v>67</v>
      </c>
      <c r="O6" s="28">
        <f>SUMIF($B$5:$B$91,"１月3日",$F$5:$F$91)</f>
        <v>0</v>
      </c>
      <c r="P6" s="28">
        <f>SUMIF($B$5:$B$91,"１月3日",$G$5:$G$91)</f>
        <v>0</v>
      </c>
      <c r="Q6" s="32">
        <f t="shared" si="0"/>
        <v>0</v>
      </c>
    </row>
    <row r="7" spans="1:17" ht="14.25">
      <c r="A7" s="1"/>
      <c r="B7" s="10"/>
      <c r="C7" s="22" t="s">
        <v>33</v>
      </c>
      <c r="D7" s="11"/>
      <c r="E7" s="12"/>
      <c r="F7" s="13"/>
      <c r="G7" s="13"/>
      <c r="H7" s="14">
        <f t="shared" si="1"/>
      </c>
      <c r="J7" s="27" t="s">
        <v>13</v>
      </c>
      <c r="K7" s="28">
        <f aca="true" t="shared" si="2" ref="K7:K28">SUMIF($C$5:$C$91,J7,$G$5:$G$91)</f>
        <v>0</v>
      </c>
      <c r="M7" s="31">
        <v>40547</v>
      </c>
      <c r="N7" s="42" t="s">
        <v>68</v>
      </c>
      <c r="O7" s="28">
        <f>SUMIF($B$5:$B$91,"１月4日",$F$5:$F$91)</f>
        <v>0</v>
      </c>
      <c r="P7" s="28">
        <f>SUMIF($B$5:$B$91,"１月4日",$G$5:$G$91)</f>
        <v>0</v>
      </c>
      <c r="Q7" s="32">
        <f t="shared" si="0"/>
        <v>0</v>
      </c>
    </row>
    <row r="8" spans="1:17" ht="14.25">
      <c r="A8" s="1"/>
      <c r="B8" s="10"/>
      <c r="C8" s="22" t="s">
        <v>33</v>
      </c>
      <c r="D8" s="11"/>
      <c r="E8" s="12"/>
      <c r="F8" s="13"/>
      <c r="G8" s="13"/>
      <c r="H8" s="14">
        <f t="shared" si="1"/>
      </c>
      <c r="J8" s="27" t="s">
        <v>14</v>
      </c>
      <c r="K8" s="28">
        <f t="shared" si="2"/>
        <v>0</v>
      </c>
      <c r="M8" s="31">
        <v>40548</v>
      </c>
      <c r="N8" s="42" t="s">
        <v>69</v>
      </c>
      <c r="O8" s="28">
        <f>SUMIF($B$5:$B$91,"１月5日",$F$5:$F$91)</f>
        <v>0</v>
      </c>
      <c r="P8" s="28">
        <f>SUMIF($B$5:$B$91,"１月5日",$G$5:$G$91)</f>
        <v>0</v>
      </c>
      <c r="Q8" s="32">
        <f t="shared" si="0"/>
        <v>0</v>
      </c>
    </row>
    <row r="9" spans="1:17" ht="14.25">
      <c r="A9" s="1"/>
      <c r="B9" s="10"/>
      <c r="C9" s="22" t="s">
        <v>33</v>
      </c>
      <c r="D9" s="11"/>
      <c r="E9" s="12"/>
      <c r="F9" s="13"/>
      <c r="G9" s="13"/>
      <c r="H9" s="14">
        <f t="shared" si="1"/>
      </c>
      <c r="J9" s="27" t="s">
        <v>15</v>
      </c>
      <c r="K9" s="28">
        <f t="shared" si="2"/>
        <v>0</v>
      </c>
      <c r="M9" s="31">
        <v>40549</v>
      </c>
      <c r="N9" s="42" t="s">
        <v>70</v>
      </c>
      <c r="O9" s="28">
        <f>SUMIF($B$5:$B$91,"１月6日",$F$5:$F$91)</f>
        <v>0</v>
      </c>
      <c r="P9" s="28">
        <f>SUMIF($B$5:$B$91,"１月6日",$G$5:$G$91)</f>
        <v>0</v>
      </c>
      <c r="Q9" s="32">
        <f t="shared" si="0"/>
        <v>0</v>
      </c>
    </row>
    <row r="10" spans="1:17" ht="14.25">
      <c r="A10" s="15"/>
      <c r="B10" s="10"/>
      <c r="C10" s="22" t="s">
        <v>33</v>
      </c>
      <c r="D10" s="11"/>
      <c r="E10" s="12"/>
      <c r="F10" s="13"/>
      <c r="G10" s="13"/>
      <c r="H10" s="14">
        <f t="shared" si="1"/>
      </c>
      <c r="J10" s="27" t="s">
        <v>16</v>
      </c>
      <c r="K10" s="28">
        <f t="shared" si="2"/>
        <v>0</v>
      </c>
      <c r="M10" s="31">
        <v>40550</v>
      </c>
      <c r="N10" s="42" t="s">
        <v>71</v>
      </c>
      <c r="O10" s="28">
        <f>SUMIF($B$5:$B$91,"１月7日",$F$5:$F$91)</f>
        <v>0</v>
      </c>
      <c r="P10" s="28">
        <f>SUMIF($B$5:$B$91,"１月7日",$G$5:$G$91)</f>
        <v>0</v>
      </c>
      <c r="Q10" s="32">
        <f t="shared" si="0"/>
        <v>0</v>
      </c>
    </row>
    <row r="11" spans="1:17" ht="14.25">
      <c r="A11" s="15"/>
      <c r="B11" s="10"/>
      <c r="C11" s="22" t="s">
        <v>33</v>
      </c>
      <c r="D11" s="11"/>
      <c r="E11" s="12"/>
      <c r="F11" s="13"/>
      <c r="G11" s="13"/>
      <c r="H11" s="14">
        <f t="shared" si="1"/>
      </c>
      <c r="J11" s="27" t="s">
        <v>17</v>
      </c>
      <c r="K11" s="28">
        <f t="shared" si="2"/>
        <v>0</v>
      </c>
      <c r="M11" s="31">
        <v>40551</v>
      </c>
      <c r="N11" s="42" t="s">
        <v>72</v>
      </c>
      <c r="O11" s="28">
        <f>SUMIF($B$5:$B$91,"１月8日",$F$5:$F$91)</f>
        <v>0</v>
      </c>
      <c r="P11" s="28">
        <f>SUMIF($B$5:$B$91,"１月8日",$G$5:$G$91)</f>
        <v>0</v>
      </c>
      <c r="Q11" s="32">
        <f t="shared" si="0"/>
        <v>0</v>
      </c>
    </row>
    <row r="12" spans="1:17" ht="14.25">
      <c r="A12" s="15"/>
      <c r="B12" s="10"/>
      <c r="C12" s="22" t="s">
        <v>33</v>
      </c>
      <c r="D12" s="11"/>
      <c r="E12" s="12"/>
      <c r="F12" s="13"/>
      <c r="G12" s="13"/>
      <c r="H12" s="14">
        <f t="shared" si="1"/>
      </c>
      <c r="J12" s="27" t="s">
        <v>18</v>
      </c>
      <c r="K12" s="28">
        <f t="shared" si="2"/>
        <v>0</v>
      </c>
      <c r="M12" s="31">
        <v>40552</v>
      </c>
      <c r="N12" s="42" t="s">
        <v>66</v>
      </c>
      <c r="O12" s="28">
        <f>SUMIF($B$5:$B$91,"１月9日",$F$5:$F$91)</f>
        <v>0</v>
      </c>
      <c r="P12" s="28">
        <f>SUMIF($B$5:$B$91,"１月9日",$G$5:$G$91)</f>
        <v>0</v>
      </c>
      <c r="Q12" s="32">
        <f t="shared" si="0"/>
        <v>0</v>
      </c>
    </row>
    <row r="13" spans="1:17" ht="14.25">
      <c r="A13" s="15"/>
      <c r="B13" s="10"/>
      <c r="C13" s="22" t="s">
        <v>33</v>
      </c>
      <c r="D13" s="11"/>
      <c r="E13" s="12"/>
      <c r="F13" s="13"/>
      <c r="G13" s="13"/>
      <c r="H13" s="14">
        <f t="shared" si="1"/>
      </c>
      <c r="J13" s="27" t="s">
        <v>19</v>
      </c>
      <c r="K13" s="28">
        <f t="shared" si="2"/>
        <v>0</v>
      </c>
      <c r="M13" s="31">
        <v>40553</v>
      </c>
      <c r="N13" s="42" t="s">
        <v>67</v>
      </c>
      <c r="O13" s="28">
        <f>SUMIF($B$5:$B$91,"１月10日",$F$5:$F$91)</f>
        <v>0</v>
      </c>
      <c r="P13" s="28">
        <f>SUMIF($B$5:$B$91,"１月10日",$G$5:$G$91)</f>
        <v>0</v>
      </c>
      <c r="Q13" s="32">
        <f t="shared" si="0"/>
        <v>0</v>
      </c>
    </row>
    <row r="14" spans="1:17" ht="14.25">
      <c r="A14" s="15"/>
      <c r="B14" s="10"/>
      <c r="C14" s="22" t="s">
        <v>33</v>
      </c>
      <c r="D14" s="11"/>
      <c r="E14" s="12"/>
      <c r="F14" s="13"/>
      <c r="G14" s="13"/>
      <c r="H14" s="14">
        <f t="shared" si="1"/>
      </c>
      <c r="J14" s="27" t="s">
        <v>20</v>
      </c>
      <c r="K14" s="28">
        <f t="shared" si="2"/>
        <v>0</v>
      </c>
      <c r="M14" s="31">
        <v>40554</v>
      </c>
      <c r="N14" s="42" t="s">
        <v>68</v>
      </c>
      <c r="O14" s="28">
        <f>SUMIF($B$5:$B$91,"１月11日",$F$5:$F$91)</f>
        <v>0</v>
      </c>
      <c r="P14" s="28">
        <f>SUMIF($B$5:$B$91,"１月11日",$G$5:$G$91)</f>
        <v>0</v>
      </c>
      <c r="Q14" s="32">
        <f t="shared" si="0"/>
        <v>0</v>
      </c>
    </row>
    <row r="15" spans="1:17" ht="14.25">
      <c r="A15" s="15"/>
      <c r="B15" s="10"/>
      <c r="C15" s="22" t="s">
        <v>33</v>
      </c>
      <c r="D15" s="11"/>
      <c r="E15" s="16"/>
      <c r="F15" s="13"/>
      <c r="G15" s="13"/>
      <c r="H15" s="14">
        <f t="shared" si="1"/>
      </c>
      <c r="J15" s="27" t="s">
        <v>21</v>
      </c>
      <c r="K15" s="28">
        <f t="shared" si="2"/>
        <v>0</v>
      </c>
      <c r="M15" s="31">
        <v>40555</v>
      </c>
      <c r="N15" s="42" t="s">
        <v>69</v>
      </c>
      <c r="O15" s="28">
        <f>SUMIF($B$5:$B$91,"１月12日",$F$5:$F$91)</f>
        <v>0</v>
      </c>
      <c r="P15" s="28">
        <f>SUMIF($B$5:$B$91,"１月12日",$G$5:$G$91)</f>
        <v>0</v>
      </c>
      <c r="Q15" s="32">
        <f t="shared" si="0"/>
        <v>0</v>
      </c>
    </row>
    <row r="16" spans="1:17" ht="14.25">
      <c r="A16" s="15"/>
      <c r="B16" s="10"/>
      <c r="C16" s="22" t="s">
        <v>33</v>
      </c>
      <c r="D16" s="11"/>
      <c r="E16" s="12"/>
      <c r="F16" s="13"/>
      <c r="G16" s="13"/>
      <c r="H16" s="14">
        <f t="shared" si="1"/>
      </c>
      <c r="J16" s="27" t="s">
        <v>22</v>
      </c>
      <c r="K16" s="28">
        <f t="shared" si="2"/>
        <v>0</v>
      </c>
      <c r="M16" s="31">
        <v>40556</v>
      </c>
      <c r="N16" s="42" t="s">
        <v>70</v>
      </c>
      <c r="O16" s="28">
        <f>SUMIF($B$5:$B$91,"１月13日",$F$5:$F$91)</f>
        <v>0</v>
      </c>
      <c r="P16" s="28">
        <f>SUMIF($B$5:$B$91,"１月13日",$G$5:$G$91)</f>
        <v>0</v>
      </c>
      <c r="Q16" s="32">
        <f t="shared" si="0"/>
        <v>0</v>
      </c>
    </row>
    <row r="17" spans="1:17" ht="14.25">
      <c r="A17" s="15"/>
      <c r="B17" s="10"/>
      <c r="C17" s="22" t="s">
        <v>33</v>
      </c>
      <c r="D17" s="11"/>
      <c r="E17" s="12"/>
      <c r="F17" s="13"/>
      <c r="G17" s="13"/>
      <c r="H17" s="14">
        <f t="shared" si="1"/>
      </c>
      <c r="J17" s="27" t="s">
        <v>23</v>
      </c>
      <c r="K17" s="28">
        <f t="shared" si="2"/>
        <v>0</v>
      </c>
      <c r="M17" s="31">
        <v>40557</v>
      </c>
      <c r="N17" s="42" t="s">
        <v>71</v>
      </c>
      <c r="O17" s="28">
        <f>SUMIF($B$5:$B$91,"１月14日",$F$5:$F$91)</f>
        <v>0</v>
      </c>
      <c r="P17" s="28">
        <f>SUMIF($B$5:$B$91,"１月14日",$G$5:$G$91)</f>
        <v>0</v>
      </c>
      <c r="Q17" s="32">
        <f t="shared" si="0"/>
        <v>0</v>
      </c>
    </row>
    <row r="18" spans="1:17" ht="14.25">
      <c r="A18" s="15"/>
      <c r="B18" s="10"/>
      <c r="C18" s="22" t="s">
        <v>33</v>
      </c>
      <c r="D18" s="11"/>
      <c r="E18" s="12"/>
      <c r="F18" s="13"/>
      <c r="G18" s="13"/>
      <c r="H18" s="14">
        <f t="shared" si="1"/>
      </c>
      <c r="J18" s="27" t="s">
        <v>24</v>
      </c>
      <c r="K18" s="28">
        <f t="shared" si="2"/>
        <v>0</v>
      </c>
      <c r="M18" s="31">
        <v>40558</v>
      </c>
      <c r="N18" s="42" t="s">
        <v>72</v>
      </c>
      <c r="O18" s="28">
        <f>SUMIF($B$5:$B$91,"１月15日",$F$5:$F$91)</f>
        <v>0</v>
      </c>
      <c r="P18" s="28">
        <f>SUMIF($B$5:$B$91,"１月15日",$G$5:$G$91)</f>
        <v>0</v>
      </c>
      <c r="Q18" s="32">
        <f t="shared" si="0"/>
        <v>0</v>
      </c>
    </row>
    <row r="19" spans="1:17" ht="14.25">
      <c r="A19" s="15"/>
      <c r="B19" s="10"/>
      <c r="C19" s="22" t="s">
        <v>33</v>
      </c>
      <c r="D19" s="11"/>
      <c r="E19" s="12"/>
      <c r="F19" s="13"/>
      <c r="G19" s="13"/>
      <c r="H19" s="14">
        <f t="shared" si="1"/>
      </c>
      <c r="J19" s="27" t="s">
        <v>25</v>
      </c>
      <c r="K19" s="28">
        <f t="shared" si="2"/>
        <v>0</v>
      </c>
      <c r="M19" s="31">
        <v>40559</v>
      </c>
      <c r="N19" s="42" t="s">
        <v>66</v>
      </c>
      <c r="O19" s="28">
        <f>SUMIF($B$5:$B$91,"１月16日",$F$5:$F$91)</f>
        <v>0</v>
      </c>
      <c r="P19" s="28">
        <f>SUMIF($B$5:$B$91,"１月16日",$G$5:$G$91)</f>
        <v>0</v>
      </c>
      <c r="Q19" s="32">
        <f t="shared" si="0"/>
        <v>0</v>
      </c>
    </row>
    <row r="20" spans="1:17" ht="14.25">
      <c r="A20" s="15"/>
      <c r="B20" s="10"/>
      <c r="C20" s="22" t="s">
        <v>33</v>
      </c>
      <c r="D20" s="11"/>
      <c r="E20" s="12"/>
      <c r="F20" s="13"/>
      <c r="G20" s="13"/>
      <c r="H20" s="14">
        <f t="shared" si="1"/>
      </c>
      <c r="J20" s="27" t="s">
        <v>26</v>
      </c>
      <c r="K20" s="28">
        <f t="shared" si="2"/>
        <v>0</v>
      </c>
      <c r="M20" s="31">
        <v>40560</v>
      </c>
      <c r="N20" s="42" t="s">
        <v>67</v>
      </c>
      <c r="O20" s="28">
        <f>SUMIF($B$5:$B$91,"１月17日",$F$5:$F$91)</f>
        <v>0</v>
      </c>
      <c r="P20" s="28">
        <f>SUMIF($B$5:$B$91,"１月17日",$G$5:$G$91)</f>
        <v>0</v>
      </c>
      <c r="Q20" s="32">
        <f t="shared" si="0"/>
        <v>0</v>
      </c>
    </row>
    <row r="21" spans="1:17" ht="14.25">
      <c r="A21" s="15"/>
      <c r="B21" s="10"/>
      <c r="C21" s="22" t="s">
        <v>33</v>
      </c>
      <c r="D21" s="11"/>
      <c r="E21" s="16"/>
      <c r="F21" s="13"/>
      <c r="G21" s="13"/>
      <c r="H21" s="14">
        <f t="shared" si="1"/>
      </c>
      <c r="J21" s="27" t="s">
        <v>27</v>
      </c>
      <c r="K21" s="28">
        <f t="shared" si="2"/>
        <v>0</v>
      </c>
      <c r="M21" s="31">
        <v>40561</v>
      </c>
      <c r="N21" s="42" t="s">
        <v>68</v>
      </c>
      <c r="O21" s="28">
        <f>SUMIF($B$5:$B$91,"１月18日",$F$5:$F$91)</f>
        <v>0</v>
      </c>
      <c r="P21" s="28">
        <f>SUMIF($B$5:$B$91,"１月18日",$G$5:$G$91)</f>
        <v>0</v>
      </c>
      <c r="Q21" s="32">
        <f t="shared" si="0"/>
        <v>0</v>
      </c>
    </row>
    <row r="22" spans="1:17" ht="14.25">
      <c r="A22" s="15"/>
      <c r="B22" s="10"/>
      <c r="C22" s="22" t="s">
        <v>33</v>
      </c>
      <c r="D22" s="11"/>
      <c r="E22" s="12"/>
      <c r="F22" s="13"/>
      <c r="G22" s="13"/>
      <c r="H22" s="14">
        <f t="shared" si="1"/>
      </c>
      <c r="J22" s="27" t="s">
        <v>28</v>
      </c>
      <c r="K22" s="28">
        <f t="shared" si="2"/>
        <v>0</v>
      </c>
      <c r="M22" s="31">
        <v>40562</v>
      </c>
      <c r="N22" s="42" t="s">
        <v>69</v>
      </c>
      <c r="O22" s="28">
        <f>SUMIF($B$5:$B$91,"１月19日",$F$5:$F$91)</f>
        <v>0</v>
      </c>
      <c r="P22" s="28">
        <f>SUMIF($B$5:$B$91,"１月19日",$G$5:$G$91)</f>
        <v>0</v>
      </c>
      <c r="Q22" s="32">
        <f t="shared" si="0"/>
        <v>0</v>
      </c>
    </row>
    <row r="23" spans="1:17" ht="14.25">
      <c r="A23" s="15"/>
      <c r="B23" s="10"/>
      <c r="C23" s="22" t="s">
        <v>33</v>
      </c>
      <c r="D23" s="11"/>
      <c r="E23" s="12"/>
      <c r="F23" s="13"/>
      <c r="G23" s="13"/>
      <c r="H23" s="14">
        <f t="shared" si="1"/>
      </c>
      <c r="J23" s="27" t="s">
        <v>29</v>
      </c>
      <c r="K23" s="28">
        <f t="shared" si="2"/>
        <v>0</v>
      </c>
      <c r="M23" s="31">
        <v>40563</v>
      </c>
      <c r="N23" s="42" t="s">
        <v>70</v>
      </c>
      <c r="O23" s="28">
        <f>SUMIF($B$5:$B$91,"１月20日",$F$5:$F$91)</f>
        <v>0</v>
      </c>
      <c r="P23" s="28">
        <f>SUMIF($B$5:$B$91,"１月20日",$G$5:$G$91)</f>
        <v>0</v>
      </c>
      <c r="Q23" s="32">
        <f t="shared" si="0"/>
        <v>0</v>
      </c>
    </row>
    <row r="24" spans="1:17" ht="14.25">
      <c r="A24" s="15"/>
      <c r="B24" s="10"/>
      <c r="C24" s="22" t="s">
        <v>33</v>
      </c>
      <c r="D24" s="11"/>
      <c r="E24" s="12"/>
      <c r="F24" s="13"/>
      <c r="G24" s="13"/>
      <c r="H24" s="14">
        <f t="shared" si="1"/>
      </c>
      <c r="J24" s="27"/>
      <c r="K24" s="28">
        <f t="shared" si="2"/>
        <v>0</v>
      </c>
      <c r="M24" s="31">
        <v>40564</v>
      </c>
      <c r="N24" s="42" t="s">
        <v>71</v>
      </c>
      <c r="O24" s="28">
        <f>SUMIF($B$5:$B$91,"１月21日",$F$5:$F$91)</f>
        <v>0</v>
      </c>
      <c r="P24" s="28">
        <f>SUMIF($B$5:$B$91,"１月21日",$G$5:$G$91)</f>
        <v>0</v>
      </c>
      <c r="Q24" s="32">
        <f t="shared" si="0"/>
        <v>0</v>
      </c>
    </row>
    <row r="25" spans="1:17" ht="14.25">
      <c r="A25" s="15"/>
      <c r="B25" s="10"/>
      <c r="C25" s="22" t="s">
        <v>33</v>
      </c>
      <c r="D25" s="11"/>
      <c r="E25" s="12"/>
      <c r="F25" s="13"/>
      <c r="G25" s="13"/>
      <c r="H25" s="14">
        <f t="shared" si="1"/>
      </c>
      <c r="J25" s="27" t="s">
        <v>34</v>
      </c>
      <c r="K25" s="28">
        <f t="shared" si="2"/>
        <v>0</v>
      </c>
      <c r="M25" s="31">
        <v>40565</v>
      </c>
      <c r="N25" s="42" t="s">
        <v>72</v>
      </c>
      <c r="O25" s="28">
        <f>SUMIF($B$5:$B$91,"１月22日",$F$5:$F$91)</f>
        <v>0</v>
      </c>
      <c r="P25" s="28">
        <f>SUMIF($B$5:$B$91,"１月22日",$G$5:$G$91)</f>
        <v>0</v>
      </c>
      <c r="Q25" s="32">
        <f t="shared" si="0"/>
        <v>0</v>
      </c>
    </row>
    <row r="26" spans="1:17" ht="14.25">
      <c r="A26" s="15"/>
      <c r="B26" s="10"/>
      <c r="C26" s="22" t="s">
        <v>33</v>
      </c>
      <c r="D26" s="11"/>
      <c r="E26" s="12"/>
      <c r="F26" s="13"/>
      <c r="G26" s="13"/>
      <c r="H26" s="14">
        <f t="shared" si="1"/>
      </c>
      <c r="J26" s="27"/>
      <c r="K26" s="28">
        <f t="shared" si="2"/>
        <v>0</v>
      </c>
      <c r="M26" s="31">
        <v>40566</v>
      </c>
      <c r="N26" s="42" t="s">
        <v>66</v>
      </c>
      <c r="O26" s="28">
        <f>SUMIF($B$5:$B$91,"１月23日",$F$5:$F$91)</f>
        <v>0</v>
      </c>
      <c r="P26" s="28">
        <f>SUMIF($B$5:$B$91,"１月23日",$G$5:$G$91)</f>
        <v>0</v>
      </c>
      <c r="Q26" s="32">
        <f t="shared" si="0"/>
        <v>0</v>
      </c>
    </row>
    <row r="27" spans="1:17" ht="14.25">
      <c r="A27" s="15"/>
      <c r="B27" s="10"/>
      <c r="C27" s="22" t="s">
        <v>33</v>
      </c>
      <c r="D27" s="11"/>
      <c r="E27" s="12"/>
      <c r="F27" s="13"/>
      <c r="G27" s="13"/>
      <c r="H27" s="14">
        <f t="shared" si="1"/>
      </c>
      <c r="J27" s="27"/>
      <c r="K27" s="28">
        <f t="shared" si="2"/>
        <v>0</v>
      </c>
      <c r="M27" s="31">
        <v>40567</v>
      </c>
      <c r="N27" s="42" t="s">
        <v>67</v>
      </c>
      <c r="O27" s="28">
        <f>SUMIF($B$5:$B$91,"１月24日",$F$5:$F$91)</f>
        <v>0</v>
      </c>
      <c r="P27" s="28">
        <f>SUMIF($B$5:$B$91,"１月24日",$G$5:$G$91)</f>
        <v>0</v>
      </c>
      <c r="Q27" s="32">
        <f t="shared" si="0"/>
        <v>0</v>
      </c>
    </row>
    <row r="28" spans="1:17" ht="14.25">
      <c r="A28" s="15"/>
      <c r="B28" s="10"/>
      <c r="C28" s="22" t="s">
        <v>33</v>
      </c>
      <c r="D28" s="11"/>
      <c r="E28" s="12"/>
      <c r="F28" s="13"/>
      <c r="G28" s="13"/>
      <c r="H28" s="14">
        <f t="shared" si="1"/>
      </c>
      <c r="J28" s="27" t="s">
        <v>30</v>
      </c>
      <c r="K28" s="28">
        <f t="shared" si="2"/>
        <v>0</v>
      </c>
      <c r="M28" s="31">
        <v>40568</v>
      </c>
      <c r="N28" s="42" t="s">
        <v>68</v>
      </c>
      <c r="O28" s="28">
        <f>SUMIF($B$5:$B$91,"１月25日",$F$5:$F$91)</f>
        <v>0</v>
      </c>
      <c r="P28" s="28">
        <f>SUMIF($B$5:$B$91,"１月25日",$G$5:$G$91)</f>
        <v>0</v>
      </c>
      <c r="Q28" s="32">
        <f t="shared" si="0"/>
        <v>0</v>
      </c>
    </row>
    <row r="29" spans="1:17" ht="14.25">
      <c r="A29" s="15"/>
      <c r="B29" s="10"/>
      <c r="C29" s="22" t="s">
        <v>33</v>
      </c>
      <c r="D29" s="11"/>
      <c r="E29" s="12"/>
      <c r="F29" s="13"/>
      <c r="G29" s="13"/>
      <c r="H29" s="14">
        <f t="shared" si="1"/>
      </c>
      <c r="J29" s="27" t="s">
        <v>42</v>
      </c>
      <c r="K29" s="28">
        <f>SUM(K6:K28)</f>
        <v>0</v>
      </c>
      <c r="M29" s="31">
        <v>40569</v>
      </c>
      <c r="N29" s="42" t="s">
        <v>69</v>
      </c>
      <c r="O29" s="28">
        <f>SUMIF($B$5:$B$91,"１月26日",$F$5:$F$91)</f>
        <v>0</v>
      </c>
      <c r="P29" s="28">
        <f>SUMIF($B$5:$B$91,"１月26日",$G$5:$G$91)</f>
        <v>0</v>
      </c>
      <c r="Q29" s="32">
        <f t="shared" si="0"/>
        <v>0</v>
      </c>
    </row>
    <row r="30" spans="1:17" ht="14.25">
      <c r="A30" s="15"/>
      <c r="B30" s="10"/>
      <c r="C30" s="22" t="s">
        <v>33</v>
      </c>
      <c r="D30" s="11"/>
      <c r="E30" s="12"/>
      <c r="F30" s="13"/>
      <c r="G30" s="13"/>
      <c r="H30" s="14">
        <f t="shared" si="1"/>
      </c>
      <c r="J30" s="27" t="s">
        <v>43</v>
      </c>
      <c r="K30" s="28">
        <f>K5-K29</f>
        <v>0</v>
      </c>
      <c r="M30" s="31">
        <v>40570</v>
      </c>
      <c r="N30" s="42" t="s">
        <v>70</v>
      </c>
      <c r="O30" s="28">
        <f>SUMIF($B$5:$B$91,"１月27日",$F$5:$F$91)</f>
        <v>0</v>
      </c>
      <c r="P30" s="28">
        <f>SUMIF($B$5:$B$91,"１月27日",$G$5:$G$91)</f>
        <v>0</v>
      </c>
      <c r="Q30" s="32">
        <f t="shared" si="0"/>
        <v>0</v>
      </c>
    </row>
    <row r="31" spans="1:17" ht="13.5">
      <c r="A31" s="15"/>
      <c r="B31" s="10"/>
      <c r="C31" s="22" t="s">
        <v>33</v>
      </c>
      <c r="D31" s="11"/>
      <c r="E31" s="12"/>
      <c r="F31" s="13"/>
      <c r="G31" s="13"/>
      <c r="H31" s="14">
        <f t="shared" si="1"/>
      </c>
      <c r="J31" s="27" t="s">
        <v>31</v>
      </c>
      <c r="K31" s="28">
        <f>SUMIF($C$5:$C$91,J31,$F$5:$F$91)</f>
        <v>0</v>
      </c>
      <c r="M31" s="31">
        <v>40571</v>
      </c>
      <c r="N31" s="42" t="s">
        <v>71</v>
      </c>
      <c r="O31" s="28">
        <f>SUMIF($B$5:$B$91,"１月28日",$F$5:$F$91)</f>
        <v>0</v>
      </c>
      <c r="P31" s="28">
        <f>SUMIF($B$5:$B$91,"１月28日",$G$5:$G$91)</f>
        <v>0</v>
      </c>
      <c r="Q31" s="32">
        <f t="shared" si="0"/>
        <v>0</v>
      </c>
    </row>
    <row r="32" spans="1:17" ht="13.5">
      <c r="A32" s="15"/>
      <c r="B32" s="10"/>
      <c r="C32" s="22" t="s">
        <v>33</v>
      </c>
      <c r="D32" s="11"/>
      <c r="E32" s="12"/>
      <c r="F32" s="13"/>
      <c r="G32" s="13"/>
      <c r="H32" s="14">
        <f t="shared" si="1"/>
      </c>
      <c r="J32" s="27" t="s">
        <v>32</v>
      </c>
      <c r="K32" s="28">
        <f>SUMIF($C$5:$C$91,J32,$G$5:$G$91)</f>
        <v>0</v>
      </c>
      <c r="M32" s="31">
        <v>40572</v>
      </c>
      <c r="N32" s="42" t="s">
        <v>72</v>
      </c>
      <c r="O32" s="28">
        <f>SUMIF($B$5:$B$91,"１月29日",$F$5:$F$91)</f>
        <v>0</v>
      </c>
      <c r="P32" s="28">
        <f>SUMIF($B$5:$B$91,"１月29日",$G$5:$G$91)</f>
        <v>0</v>
      </c>
      <c r="Q32" s="32">
        <f t="shared" si="0"/>
        <v>0</v>
      </c>
    </row>
    <row r="33" spans="1:17" ht="13.5">
      <c r="A33" s="15"/>
      <c r="B33" s="10"/>
      <c r="C33" s="22" t="s">
        <v>33</v>
      </c>
      <c r="D33" s="11"/>
      <c r="E33" s="12"/>
      <c r="F33" s="13"/>
      <c r="G33" s="13"/>
      <c r="H33" s="14">
        <f t="shared" si="1"/>
      </c>
      <c r="M33" s="31">
        <v>40573</v>
      </c>
      <c r="N33" s="42" t="s">
        <v>66</v>
      </c>
      <c r="O33" s="28">
        <f>SUMIF($B$5:$B$91,"１月30日",$F$5:$F$91)</f>
        <v>0</v>
      </c>
      <c r="P33" s="28">
        <f>SUMIF($B$5:$B$91,"１月30日",$G$5:$G$91)</f>
        <v>0</v>
      </c>
      <c r="Q33" s="32">
        <f t="shared" si="0"/>
        <v>0</v>
      </c>
    </row>
    <row r="34" spans="1:17" ht="13.5">
      <c r="A34" s="15"/>
      <c r="B34" s="10"/>
      <c r="C34" s="22" t="s">
        <v>33</v>
      </c>
      <c r="D34" s="11"/>
      <c r="E34" s="12"/>
      <c r="F34" s="13"/>
      <c r="G34" s="13"/>
      <c r="H34" s="14">
        <f t="shared" si="1"/>
      </c>
      <c r="J34" s="40" t="s">
        <v>75</v>
      </c>
      <c r="K34" s="40"/>
      <c r="M34" s="31">
        <v>40574</v>
      </c>
      <c r="N34" s="42" t="s">
        <v>67</v>
      </c>
      <c r="O34" s="28">
        <f>SUMIF($B$5:$B$91,"１月31日",$F$5:$F$91)</f>
        <v>0</v>
      </c>
      <c r="P34" s="28">
        <f>SUMIF($B$5:$B$91,"１月31日",$G$5:$G$91)</f>
        <v>0</v>
      </c>
      <c r="Q34" s="32">
        <f t="shared" si="0"/>
        <v>0</v>
      </c>
    </row>
    <row r="35" spans="1:17" ht="13.5">
      <c r="A35" s="15"/>
      <c r="B35" s="10"/>
      <c r="C35" s="22" t="s">
        <v>33</v>
      </c>
      <c r="D35" s="11"/>
      <c r="E35" s="12"/>
      <c r="F35" s="13"/>
      <c r="G35" s="13"/>
      <c r="H35" s="14">
        <f t="shared" si="1"/>
      </c>
      <c r="J35" s="40"/>
      <c r="K35" s="40"/>
      <c r="M35" s="27"/>
      <c r="N35" s="30"/>
      <c r="O35" s="32">
        <f>SUM(O4:O34)</f>
        <v>0</v>
      </c>
      <c r="P35" s="32">
        <f>SUM(P4:P34)</f>
        <v>0</v>
      </c>
      <c r="Q35" s="32">
        <f t="shared" si="0"/>
        <v>0</v>
      </c>
    </row>
    <row r="36" spans="1:11" ht="13.5">
      <c r="A36" s="15"/>
      <c r="B36" s="10"/>
      <c r="C36" s="22" t="s">
        <v>33</v>
      </c>
      <c r="D36" s="11"/>
      <c r="E36" s="12"/>
      <c r="F36" s="13"/>
      <c r="G36" s="13"/>
      <c r="H36" s="14">
        <f t="shared" si="1"/>
      </c>
      <c r="J36" s="41"/>
      <c r="K36" s="41"/>
    </row>
    <row r="37" spans="1:11" ht="13.5">
      <c r="A37" s="15"/>
      <c r="B37" s="10"/>
      <c r="C37" s="22" t="s">
        <v>33</v>
      </c>
      <c r="D37" s="11"/>
      <c r="E37" s="12"/>
      <c r="F37" s="13"/>
      <c r="G37" s="13"/>
      <c r="H37" s="14">
        <f t="shared" si="1"/>
      </c>
      <c r="J37" s="27"/>
      <c r="K37" s="28">
        <f aca="true" t="shared" si="3" ref="K37:K46">SUMIF($D$5:$D$91,J37,$G$5:$G$91)</f>
        <v>0</v>
      </c>
    </row>
    <row r="38" spans="1:11" ht="13.5">
      <c r="A38" s="15"/>
      <c r="B38" s="10"/>
      <c r="C38" s="22" t="s">
        <v>33</v>
      </c>
      <c r="D38" s="11"/>
      <c r="E38" s="12"/>
      <c r="F38" s="13"/>
      <c r="G38" s="13"/>
      <c r="H38" s="14">
        <f t="shared" si="1"/>
      </c>
      <c r="J38" s="27"/>
      <c r="K38" s="28">
        <f t="shared" si="3"/>
        <v>0</v>
      </c>
    </row>
    <row r="39" spans="1:11" ht="13.5">
      <c r="A39" s="15"/>
      <c r="B39" s="10"/>
      <c r="C39" s="22" t="s">
        <v>33</v>
      </c>
      <c r="D39" s="11"/>
      <c r="E39" s="12"/>
      <c r="F39" s="13"/>
      <c r="G39" s="13"/>
      <c r="H39" s="14">
        <f t="shared" si="1"/>
      </c>
      <c r="J39" s="27"/>
      <c r="K39" s="28">
        <f t="shared" si="3"/>
        <v>0</v>
      </c>
    </row>
    <row r="40" spans="1:11" ht="13.5">
      <c r="A40" s="15"/>
      <c r="B40" s="10"/>
      <c r="C40" s="22" t="s">
        <v>33</v>
      </c>
      <c r="D40" s="11"/>
      <c r="E40" s="12"/>
      <c r="F40" s="13"/>
      <c r="G40" s="13"/>
      <c r="H40" s="14">
        <f t="shared" si="1"/>
      </c>
      <c r="J40" s="27"/>
      <c r="K40" s="28">
        <f t="shared" si="3"/>
        <v>0</v>
      </c>
    </row>
    <row r="41" spans="1:11" ht="13.5">
      <c r="A41" s="15"/>
      <c r="B41" s="10"/>
      <c r="C41" s="22" t="s">
        <v>33</v>
      </c>
      <c r="D41" s="11"/>
      <c r="E41" s="12"/>
      <c r="F41" s="13"/>
      <c r="G41" s="13"/>
      <c r="H41" s="14">
        <f t="shared" si="1"/>
      </c>
      <c r="J41" s="27"/>
      <c r="K41" s="28">
        <f t="shared" si="3"/>
        <v>0</v>
      </c>
    </row>
    <row r="42" spans="1:11" ht="13.5">
      <c r="A42" s="15"/>
      <c r="B42" s="10"/>
      <c r="C42" s="22" t="s">
        <v>33</v>
      </c>
      <c r="D42" s="11"/>
      <c r="E42" s="12"/>
      <c r="F42" s="13"/>
      <c r="G42" s="13"/>
      <c r="H42" s="14">
        <f t="shared" si="1"/>
      </c>
      <c r="J42" s="27"/>
      <c r="K42" s="28">
        <f t="shared" si="3"/>
        <v>0</v>
      </c>
    </row>
    <row r="43" spans="1:11" ht="13.5">
      <c r="A43" s="15"/>
      <c r="B43" s="10"/>
      <c r="C43" s="22" t="s">
        <v>33</v>
      </c>
      <c r="D43" s="11"/>
      <c r="E43" s="12"/>
      <c r="F43" s="13"/>
      <c r="G43" s="13"/>
      <c r="H43" s="14">
        <f t="shared" si="1"/>
      </c>
      <c r="J43" s="27"/>
      <c r="K43" s="28">
        <f t="shared" si="3"/>
        <v>0</v>
      </c>
    </row>
    <row r="44" spans="1:11" ht="13.5">
      <c r="A44" s="15"/>
      <c r="B44" s="10"/>
      <c r="C44" s="22" t="s">
        <v>33</v>
      </c>
      <c r="D44" s="11"/>
      <c r="E44" s="12"/>
      <c r="F44" s="13"/>
      <c r="G44" s="13"/>
      <c r="H44" s="14">
        <f t="shared" si="1"/>
      </c>
      <c r="J44" s="27"/>
      <c r="K44" s="28">
        <f t="shared" si="3"/>
        <v>0</v>
      </c>
    </row>
    <row r="45" spans="1:11" ht="13.5">
      <c r="A45" s="15"/>
      <c r="B45" s="10"/>
      <c r="C45" s="22" t="s">
        <v>33</v>
      </c>
      <c r="D45" s="11"/>
      <c r="E45" s="12"/>
      <c r="F45" s="13"/>
      <c r="G45" s="13"/>
      <c r="H45" s="14">
        <f t="shared" si="1"/>
      </c>
      <c r="J45" s="27"/>
      <c r="K45" s="28">
        <f t="shared" si="3"/>
        <v>0</v>
      </c>
    </row>
    <row r="46" spans="1:11" ht="13.5">
      <c r="A46" s="15"/>
      <c r="B46" s="10"/>
      <c r="C46" s="22" t="s">
        <v>33</v>
      </c>
      <c r="D46" s="11"/>
      <c r="E46" s="12"/>
      <c r="F46" s="13"/>
      <c r="G46" s="13"/>
      <c r="H46" s="14">
        <f t="shared" si="1"/>
      </c>
      <c r="J46" s="27"/>
      <c r="K46" s="28">
        <f t="shared" si="3"/>
        <v>0</v>
      </c>
    </row>
    <row r="47" spans="1:8" ht="13.5">
      <c r="A47" s="15"/>
      <c r="B47" s="10"/>
      <c r="C47" s="22" t="s">
        <v>33</v>
      </c>
      <c r="D47" s="11"/>
      <c r="E47" s="12"/>
      <c r="F47" s="13"/>
      <c r="G47" s="13"/>
      <c r="H47" s="14">
        <f t="shared" si="1"/>
      </c>
    </row>
    <row r="48" spans="1:10" ht="13.5">
      <c r="A48" s="15"/>
      <c r="B48" s="10"/>
      <c r="C48" s="22" t="s">
        <v>33</v>
      </c>
      <c r="D48" s="11"/>
      <c r="E48" s="12"/>
      <c r="F48" s="13"/>
      <c r="G48" s="13"/>
      <c r="H48" s="14">
        <f t="shared" si="1"/>
      </c>
      <c r="J48" t="s">
        <v>76</v>
      </c>
    </row>
    <row r="49" spans="1:10" ht="13.5">
      <c r="A49" s="15"/>
      <c r="B49" s="10"/>
      <c r="C49" s="22" t="s">
        <v>33</v>
      </c>
      <c r="D49" s="11"/>
      <c r="E49" s="12"/>
      <c r="F49" s="13"/>
      <c r="G49" s="13"/>
      <c r="H49" s="14">
        <f t="shared" si="1"/>
      </c>
      <c r="J49" t="s">
        <v>77</v>
      </c>
    </row>
    <row r="50" spans="1:10" ht="13.5">
      <c r="A50" s="15"/>
      <c r="B50" s="10"/>
      <c r="C50" s="22" t="s">
        <v>33</v>
      </c>
      <c r="D50" s="11"/>
      <c r="E50" s="12"/>
      <c r="F50" s="13"/>
      <c r="G50" s="13"/>
      <c r="H50" s="14">
        <f t="shared" si="1"/>
      </c>
      <c r="J50" t="s">
        <v>78</v>
      </c>
    </row>
    <row r="51" spans="1:8" ht="13.5">
      <c r="A51" s="15"/>
      <c r="B51" s="10"/>
      <c r="C51" s="22" t="s">
        <v>33</v>
      </c>
      <c r="D51" s="11"/>
      <c r="E51" s="12"/>
      <c r="F51" s="13"/>
      <c r="G51" s="13"/>
      <c r="H51" s="14">
        <f t="shared" si="1"/>
      </c>
    </row>
    <row r="52" spans="1:8" ht="13.5">
      <c r="A52" s="15"/>
      <c r="B52" s="10"/>
      <c r="C52" s="22" t="s">
        <v>33</v>
      </c>
      <c r="D52" s="11"/>
      <c r="E52" s="12"/>
      <c r="F52" s="13"/>
      <c r="G52" s="13"/>
      <c r="H52" s="14">
        <f t="shared" si="1"/>
      </c>
    </row>
    <row r="53" spans="1:8" ht="13.5">
      <c r="A53" s="15"/>
      <c r="B53" s="10"/>
      <c r="C53" s="22" t="s">
        <v>33</v>
      </c>
      <c r="D53" s="11"/>
      <c r="E53" s="12"/>
      <c r="F53" s="13"/>
      <c r="G53" s="13"/>
      <c r="H53" s="14">
        <f t="shared" si="1"/>
      </c>
    </row>
    <row r="54" spans="1:8" ht="13.5">
      <c r="A54" s="15"/>
      <c r="B54" s="10"/>
      <c r="C54" s="22" t="s">
        <v>33</v>
      </c>
      <c r="D54" s="11"/>
      <c r="E54" s="12"/>
      <c r="F54" s="13"/>
      <c r="G54" s="13"/>
      <c r="H54" s="14">
        <f t="shared" si="1"/>
      </c>
    </row>
    <row r="55" spans="1:8" ht="13.5">
      <c r="A55" s="15"/>
      <c r="B55" s="10"/>
      <c r="C55" s="22" t="s">
        <v>33</v>
      </c>
      <c r="D55" s="11"/>
      <c r="E55" s="12"/>
      <c r="F55" s="13"/>
      <c r="G55" s="13"/>
      <c r="H55" s="14">
        <f t="shared" si="1"/>
      </c>
    </row>
    <row r="56" spans="1:8" ht="13.5">
      <c r="A56" s="15"/>
      <c r="B56" s="10"/>
      <c r="C56" s="22" t="s">
        <v>33</v>
      </c>
      <c r="D56" s="11"/>
      <c r="E56" s="12"/>
      <c r="F56" s="13"/>
      <c r="G56" s="13"/>
      <c r="H56" s="14">
        <f t="shared" si="1"/>
      </c>
    </row>
    <row r="57" spans="1:8" ht="13.5">
      <c r="A57" s="15"/>
      <c r="B57" s="10"/>
      <c r="C57" s="22" t="s">
        <v>33</v>
      </c>
      <c r="D57" s="11"/>
      <c r="E57" s="12"/>
      <c r="F57" s="13"/>
      <c r="G57" s="13"/>
      <c r="H57" s="14">
        <f t="shared" si="1"/>
      </c>
    </row>
    <row r="58" spans="1:8" ht="13.5">
      <c r="A58" s="15"/>
      <c r="B58" s="10"/>
      <c r="C58" s="22" t="s">
        <v>33</v>
      </c>
      <c r="D58" s="11"/>
      <c r="E58" s="12"/>
      <c r="F58" s="13"/>
      <c r="G58" s="13"/>
      <c r="H58" s="14">
        <f t="shared" si="1"/>
      </c>
    </row>
    <row r="59" spans="1:8" ht="13.5">
      <c r="A59" s="15"/>
      <c r="B59" s="10"/>
      <c r="C59" s="22" t="s">
        <v>33</v>
      </c>
      <c r="D59" s="11"/>
      <c r="E59" s="12"/>
      <c r="F59" s="13"/>
      <c r="G59" s="13"/>
      <c r="H59" s="14">
        <f t="shared" si="1"/>
      </c>
    </row>
    <row r="60" spans="1:8" ht="13.5">
      <c r="A60" s="15"/>
      <c r="B60" s="10"/>
      <c r="C60" s="22" t="s">
        <v>33</v>
      </c>
      <c r="D60" s="11"/>
      <c r="E60" s="12"/>
      <c r="F60" s="13"/>
      <c r="G60" s="13"/>
      <c r="H60" s="14">
        <f t="shared" si="1"/>
      </c>
    </row>
    <row r="61" spans="1:8" ht="13.5">
      <c r="A61" s="15"/>
      <c r="B61" s="10"/>
      <c r="C61" s="22" t="s">
        <v>33</v>
      </c>
      <c r="D61" s="11"/>
      <c r="E61" s="12"/>
      <c r="F61" s="13"/>
      <c r="G61" s="13"/>
      <c r="H61" s="14">
        <f t="shared" si="1"/>
      </c>
    </row>
    <row r="62" spans="1:8" ht="13.5">
      <c r="A62" s="15"/>
      <c r="B62" s="10"/>
      <c r="C62" s="22" t="s">
        <v>33</v>
      </c>
      <c r="D62" s="11"/>
      <c r="E62" s="12"/>
      <c r="F62" s="13"/>
      <c r="G62" s="13"/>
      <c r="H62" s="14">
        <f t="shared" si="1"/>
      </c>
    </row>
    <row r="63" spans="1:8" ht="13.5">
      <c r="A63" s="15"/>
      <c r="B63" s="10"/>
      <c r="C63" s="22" t="s">
        <v>33</v>
      </c>
      <c r="D63" s="11"/>
      <c r="E63" s="12"/>
      <c r="F63" s="13"/>
      <c r="G63" s="13"/>
      <c r="H63" s="14">
        <f t="shared" si="1"/>
      </c>
    </row>
    <row r="64" spans="1:8" ht="13.5">
      <c r="A64" s="15"/>
      <c r="B64" s="10"/>
      <c r="C64" s="22" t="s">
        <v>33</v>
      </c>
      <c r="D64" s="11"/>
      <c r="E64" s="12"/>
      <c r="F64" s="13"/>
      <c r="G64" s="13"/>
      <c r="H64" s="14">
        <f t="shared" si="1"/>
      </c>
    </row>
    <row r="65" spans="1:8" ht="13.5">
      <c r="A65" s="15"/>
      <c r="B65" s="10"/>
      <c r="C65" s="22" t="s">
        <v>33</v>
      </c>
      <c r="D65" s="11"/>
      <c r="E65" s="12"/>
      <c r="F65" s="13"/>
      <c r="G65" s="13"/>
      <c r="H65" s="14">
        <f t="shared" si="1"/>
      </c>
    </row>
    <row r="66" spans="1:8" ht="13.5">
      <c r="A66" s="15"/>
      <c r="B66" s="10"/>
      <c r="C66" s="22" t="s">
        <v>33</v>
      </c>
      <c r="D66" s="11"/>
      <c r="E66" s="12"/>
      <c r="F66" s="13"/>
      <c r="G66" s="13"/>
      <c r="H66" s="14">
        <f t="shared" si="1"/>
      </c>
    </row>
    <row r="67" spans="1:8" ht="13.5">
      <c r="A67" s="15"/>
      <c r="B67" s="10"/>
      <c r="C67" s="22" t="s">
        <v>33</v>
      </c>
      <c r="D67" s="11"/>
      <c r="E67" s="12"/>
      <c r="F67" s="13"/>
      <c r="G67" s="13"/>
      <c r="H67" s="14">
        <f t="shared" si="1"/>
      </c>
    </row>
    <row r="68" spans="1:8" ht="13.5">
      <c r="A68" s="15"/>
      <c r="B68" s="10"/>
      <c r="C68" s="22" t="s">
        <v>33</v>
      </c>
      <c r="D68" s="11"/>
      <c r="E68" s="12"/>
      <c r="F68" s="13"/>
      <c r="G68" s="13"/>
      <c r="H68" s="14">
        <f t="shared" si="1"/>
      </c>
    </row>
    <row r="69" spans="1:8" ht="13.5">
      <c r="A69" s="15"/>
      <c r="B69" s="10"/>
      <c r="C69" s="22" t="s">
        <v>33</v>
      </c>
      <c r="D69" s="11"/>
      <c r="E69" s="12"/>
      <c r="F69" s="13"/>
      <c r="G69" s="13"/>
      <c r="H69" s="14">
        <f t="shared" si="1"/>
      </c>
    </row>
    <row r="70" spans="1:8" ht="13.5">
      <c r="A70" s="15"/>
      <c r="B70" s="10"/>
      <c r="C70" s="22" t="s">
        <v>33</v>
      </c>
      <c r="D70" s="11"/>
      <c r="E70" s="12"/>
      <c r="F70" s="13"/>
      <c r="G70" s="13"/>
      <c r="H70" s="14">
        <f aca="true" t="shared" si="4" ref="H70:H91">IF(OR(H69="",AND(F70="",G70="")),"",H69+F70-G70)</f>
      </c>
    </row>
    <row r="71" spans="1:8" ht="13.5">
      <c r="A71" s="15"/>
      <c r="B71" s="10"/>
      <c r="C71" s="22" t="s">
        <v>33</v>
      </c>
      <c r="D71" s="11"/>
      <c r="E71" s="12"/>
      <c r="F71" s="13"/>
      <c r="G71" s="13"/>
      <c r="H71" s="14">
        <f t="shared" si="4"/>
      </c>
    </row>
    <row r="72" spans="1:8" ht="13.5">
      <c r="A72" s="15"/>
      <c r="B72" s="10"/>
      <c r="C72" s="22" t="s">
        <v>33</v>
      </c>
      <c r="D72" s="11"/>
      <c r="E72" s="12"/>
      <c r="F72" s="13"/>
      <c r="G72" s="13"/>
      <c r="H72" s="14">
        <f t="shared" si="4"/>
      </c>
    </row>
    <row r="73" spans="1:8" ht="13.5">
      <c r="A73" s="15"/>
      <c r="B73" s="10"/>
      <c r="C73" s="22" t="s">
        <v>33</v>
      </c>
      <c r="D73" s="11"/>
      <c r="E73" s="12"/>
      <c r="F73" s="13"/>
      <c r="G73" s="13"/>
      <c r="H73" s="14">
        <f t="shared" si="4"/>
      </c>
    </row>
    <row r="74" spans="1:8" ht="13.5">
      <c r="A74" s="15"/>
      <c r="B74" s="10"/>
      <c r="C74" s="22" t="s">
        <v>33</v>
      </c>
      <c r="D74" s="11"/>
      <c r="E74" s="12"/>
      <c r="F74" s="13"/>
      <c r="G74" s="13"/>
      <c r="H74" s="14">
        <f t="shared" si="4"/>
      </c>
    </row>
    <row r="75" spans="1:8" ht="13.5">
      <c r="A75" s="15"/>
      <c r="B75" s="10"/>
      <c r="C75" s="22" t="s">
        <v>33</v>
      </c>
      <c r="D75" s="11"/>
      <c r="E75" s="12"/>
      <c r="F75" s="13"/>
      <c r="G75" s="13"/>
      <c r="H75" s="14">
        <f t="shared" si="4"/>
      </c>
    </row>
    <row r="76" spans="1:8" ht="13.5">
      <c r="A76" s="15"/>
      <c r="B76" s="10"/>
      <c r="C76" s="22" t="s">
        <v>33</v>
      </c>
      <c r="D76" s="11"/>
      <c r="E76" s="12"/>
      <c r="F76" s="13"/>
      <c r="G76" s="13"/>
      <c r="H76" s="14">
        <f t="shared" si="4"/>
      </c>
    </row>
    <row r="77" spans="1:8" ht="13.5">
      <c r="A77" s="15"/>
      <c r="B77" s="10"/>
      <c r="C77" s="22" t="s">
        <v>33</v>
      </c>
      <c r="D77" s="11"/>
      <c r="E77" s="12"/>
      <c r="F77" s="13"/>
      <c r="G77" s="13"/>
      <c r="H77" s="14">
        <f t="shared" si="4"/>
      </c>
    </row>
    <row r="78" spans="1:8" ht="13.5">
      <c r="A78" s="15"/>
      <c r="B78" s="10"/>
      <c r="C78" s="22" t="s">
        <v>33</v>
      </c>
      <c r="D78" s="11"/>
      <c r="E78" s="12"/>
      <c r="F78" s="13"/>
      <c r="G78" s="13"/>
      <c r="H78" s="14">
        <f t="shared" si="4"/>
      </c>
    </row>
    <row r="79" spans="1:8" ht="13.5">
      <c r="A79" s="15"/>
      <c r="B79" s="10"/>
      <c r="C79" s="22" t="s">
        <v>33</v>
      </c>
      <c r="D79" s="11"/>
      <c r="E79" s="12"/>
      <c r="F79" s="13"/>
      <c r="G79" s="13"/>
      <c r="H79" s="14">
        <f t="shared" si="4"/>
      </c>
    </row>
    <row r="80" spans="1:8" ht="13.5">
      <c r="A80" s="15"/>
      <c r="B80" s="10"/>
      <c r="C80" s="22" t="s">
        <v>33</v>
      </c>
      <c r="D80" s="11"/>
      <c r="E80" s="12"/>
      <c r="F80" s="13"/>
      <c r="G80" s="13"/>
      <c r="H80" s="14">
        <f t="shared" si="4"/>
      </c>
    </row>
    <row r="81" spans="1:8" ht="13.5">
      <c r="A81" s="15"/>
      <c r="B81" s="10"/>
      <c r="C81" s="22" t="s">
        <v>33</v>
      </c>
      <c r="D81" s="11"/>
      <c r="E81" s="12"/>
      <c r="F81" s="13"/>
      <c r="G81" s="13"/>
      <c r="H81" s="14">
        <f t="shared" si="4"/>
      </c>
    </row>
    <row r="82" spans="1:8" ht="13.5">
      <c r="A82" s="15"/>
      <c r="B82" s="10"/>
      <c r="C82" s="22" t="s">
        <v>33</v>
      </c>
      <c r="D82" s="11"/>
      <c r="E82" s="12"/>
      <c r="F82" s="13"/>
      <c r="G82" s="13"/>
      <c r="H82" s="14">
        <f t="shared" si="4"/>
      </c>
    </row>
    <row r="83" spans="1:8" ht="13.5">
      <c r="A83" s="15"/>
      <c r="B83" s="10"/>
      <c r="C83" s="22" t="s">
        <v>33</v>
      </c>
      <c r="D83" s="11"/>
      <c r="E83" s="12"/>
      <c r="F83" s="13"/>
      <c r="G83" s="13"/>
      <c r="H83" s="14">
        <f t="shared" si="4"/>
      </c>
    </row>
    <row r="84" spans="1:8" ht="13.5">
      <c r="A84" s="15"/>
      <c r="B84" s="10"/>
      <c r="C84" s="22" t="s">
        <v>33</v>
      </c>
      <c r="D84" s="11"/>
      <c r="E84" s="12"/>
      <c r="F84" s="13"/>
      <c r="G84" s="13"/>
      <c r="H84" s="14">
        <f t="shared" si="4"/>
      </c>
    </row>
    <row r="85" spans="1:8" ht="13.5">
      <c r="A85" s="15"/>
      <c r="B85" s="10"/>
      <c r="C85" s="22" t="s">
        <v>33</v>
      </c>
      <c r="D85" s="11"/>
      <c r="E85" s="12"/>
      <c r="F85" s="13"/>
      <c r="G85" s="13"/>
      <c r="H85" s="14">
        <f t="shared" si="4"/>
      </c>
    </row>
    <row r="86" spans="1:8" ht="13.5">
      <c r="A86" s="15"/>
      <c r="B86" s="10"/>
      <c r="C86" s="22" t="s">
        <v>33</v>
      </c>
      <c r="D86" s="11"/>
      <c r="E86" s="12"/>
      <c r="F86" s="13"/>
      <c r="G86" s="13"/>
      <c r="H86" s="14">
        <f t="shared" si="4"/>
      </c>
    </row>
    <row r="87" spans="1:8" ht="13.5">
      <c r="A87" s="15"/>
      <c r="B87" s="10"/>
      <c r="C87" s="22" t="s">
        <v>33</v>
      </c>
      <c r="D87" s="11"/>
      <c r="E87" s="12"/>
      <c r="F87" s="13"/>
      <c r="G87" s="13"/>
      <c r="H87" s="14">
        <f t="shared" si="4"/>
      </c>
    </row>
    <row r="88" spans="1:8" ht="13.5">
      <c r="A88" s="15"/>
      <c r="B88" s="10"/>
      <c r="C88" s="22" t="s">
        <v>33</v>
      </c>
      <c r="D88" s="11"/>
      <c r="E88" s="12"/>
      <c r="F88" s="13"/>
      <c r="G88" s="13"/>
      <c r="H88" s="14">
        <f t="shared" si="4"/>
      </c>
    </row>
    <row r="89" spans="1:8" ht="13.5">
      <c r="A89" s="15"/>
      <c r="B89" s="10"/>
      <c r="C89" s="22" t="s">
        <v>33</v>
      </c>
      <c r="D89" s="11"/>
      <c r="E89" s="12"/>
      <c r="F89" s="13"/>
      <c r="G89" s="13"/>
      <c r="H89" s="14">
        <f t="shared" si="4"/>
      </c>
    </row>
    <row r="90" spans="1:8" ht="13.5">
      <c r="A90" s="15"/>
      <c r="B90" s="10"/>
      <c r="C90" s="22" t="s">
        <v>33</v>
      </c>
      <c r="D90" s="11"/>
      <c r="E90" s="12"/>
      <c r="F90" s="13"/>
      <c r="G90" s="13"/>
      <c r="H90" s="14">
        <f t="shared" si="4"/>
      </c>
    </row>
    <row r="91" spans="1:8" ht="14.25" thickBot="1">
      <c r="A91" s="15"/>
      <c r="B91" s="10"/>
      <c r="C91" s="22" t="s">
        <v>33</v>
      </c>
      <c r="D91" s="11"/>
      <c r="E91" s="12"/>
      <c r="F91" s="13"/>
      <c r="G91" s="13"/>
      <c r="H91" s="14">
        <f t="shared" si="4"/>
      </c>
    </row>
    <row r="92" spans="1:8" ht="14.25" thickBot="1">
      <c r="A92" s="15"/>
      <c r="B92" s="17"/>
      <c r="C92" s="18"/>
      <c r="D92" s="18"/>
      <c r="E92" s="19" t="s">
        <v>8</v>
      </c>
      <c r="F92" s="20"/>
      <c r="G92" s="20"/>
      <c r="H92" s="21">
        <f>IF(AND(SUM(F5:F91)=0,SUM(G5:G91)=0),"",SUM(F5:F91)-SUM(G5:G91)+H4)</f>
      </c>
    </row>
  </sheetData>
  <sheetProtection/>
  <mergeCells count="2">
    <mergeCell ref="B1:C1"/>
    <mergeCell ref="J34:K36"/>
  </mergeCells>
  <dataValidations count="2">
    <dataValidation type="list" allowBlank="1" showInputMessage="1" showErrorMessage="1" sqref="C5:C91">
      <formula1>$J$3:$J$32</formula1>
    </dataValidation>
    <dataValidation type="list" allowBlank="1" showInputMessage="1" showErrorMessage="1" sqref="D5:D91">
      <formula1>$J$37:$J$46</formula1>
    </dataValidation>
  </dataValidations>
  <printOptions/>
  <pageMargins left="0.75" right="0.75" top="1" bottom="1" header="0.512" footer="0.512"/>
  <pageSetup horizontalDpi="300" verticalDpi="300" orientation="portrait" paperSize="9" r:id="rId3"/>
  <ignoredErrors>
    <ignoredError sqref="K5" formula="1"/>
  </ignoredErrors>
  <legacyDrawing r:id="rId2"/>
</worksheet>
</file>

<file path=xl/worksheets/sheet10.xml><?xml version="1.0" encoding="utf-8"?>
<worksheet xmlns="http://schemas.openxmlformats.org/spreadsheetml/2006/main" xmlns:r="http://schemas.openxmlformats.org/officeDocument/2006/relationships">
  <dimension ref="A1:Q92"/>
  <sheetViews>
    <sheetView zoomScalePageLayoutView="0" workbookViewId="0" topLeftCell="A1">
      <selection activeCell="J24" sqref="J24"/>
    </sheetView>
  </sheetViews>
  <sheetFormatPr defaultColWidth="9.00390625" defaultRowHeight="13.5"/>
  <cols>
    <col min="3" max="3" width="10.875" style="0" customWidth="1"/>
    <col min="4" max="4" width="18.125" style="0" customWidth="1"/>
    <col min="5" max="5" width="22.25390625" style="0" customWidth="1"/>
    <col min="6" max="7" width="11.875" style="0" customWidth="1"/>
    <col min="8" max="8" width="13.125" style="0" customWidth="1"/>
    <col min="10" max="10" width="12.75390625" style="0" bestFit="1" customWidth="1"/>
    <col min="14" max="14" width="5.25390625" style="0" bestFit="1" customWidth="1"/>
  </cols>
  <sheetData>
    <row r="1" spans="1:11" ht="23.25">
      <c r="A1" s="1"/>
      <c r="B1" s="38" t="s">
        <v>9</v>
      </c>
      <c r="C1" s="39"/>
      <c r="D1" s="2"/>
      <c r="E1" s="2"/>
      <c r="F1" s="2"/>
      <c r="G1" s="2"/>
      <c r="H1" s="2"/>
      <c r="K1" s="3"/>
    </row>
    <row r="2" spans="1:11" ht="15" thickBot="1">
      <c r="A2" s="1"/>
      <c r="B2" s="1"/>
      <c r="C2" s="1"/>
      <c r="D2" s="1"/>
      <c r="E2" s="1"/>
      <c r="F2" s="1"/>
      <c r="G2" s="1"/>
      <c r="H2" s="4" t="s">
        <v>51</v>
      </c>
      <c r="K2" s="3"/>
    </row>
    <row r="3" spans="1:17" ht="15" thickBot="1">
      <c r="A3" s="1"/>
      <c r="B3" s="5" t="s">
        <v>1</v>
      </c>
      <c r="C3" s="6" t="s">
        <v>2</v>
      </c>
      <c r="D3" s="7" t="s">
        <v>3</v>
      </c>
      <c r="E3" s="8" t="s">
        <v>4</v>
      </c>
      <c r="F3" s="6" t="s">
        <v>5</v>
      </c>
      <c r="G3" s="6" t="s">
        <v>6</v>
      </c>
      <c r="H3" s="9" t="s">
        <v>7</v>
      </c>
      <c r="J3" s="27" t="str">
        <f>IF('１月'!J3="","",'１月'!J3)</f>
        <v>売上</v>
      </c>
      <c r="K3" s="28">
        <f>SUMIF($C$5:$C$91,J3,$F$5:$F$91)</f>
        <v>0</v>
      </c>
      <c r="M3" s="29" t="s">
        <v>36</v>
      </c>
      <c r="N3" s="29" t="s">
        <v>37</v>
      </c>
      <c r="O3" s="30" t="s">
        <v>38</v>
      </c>
      <c r="P3" s="30" t="s">
        <v>39</v>
      </c>
      <c r="Q3" s="27"/>
    </row>
    <row r="4" spans="1:17" ht="14.25">
      <c r="A4" s="1"/>
      <c r="B4" s="10"/>
      <c r="C4" s="22" t="s">
        <v>33</v>
      </c>
      <c r="D4" s="11"/>
      <c r="E4" s="12" t="s">
        <v>35</v>
      </c>
      <c r="F4" s="13"/>
      <c r="G4" s="13"/>
      <c r="H4" s="14">
        <f>'９月'!H92</f>
      </c>
      <c r="J4" s="27" t="str">
        <f>IF('１月'!J4="","",'１月'!J4)</f>
        <v>仕入</v>
      </c>
      <c r="K4" s="28">
        <f>SUMIF($C$5:$C$91,J4,$G$5:$G$91)</f>
        <v>0</v>
      </c>
      <c r="M4" s="31">
        <v>40817</v>
      </c>
      <c r="N4" s="42" t="s">
        <v>80</v>
      </c>
      <c r="O4" s="28">
        <f>SUMIF($B$5:$B$91,"10月1日",$F$5:$F$91)</f>
        <v>0</v>
      </c>
      <c r="P4" s="28">
        <f>SUMIF($B$5:$B$91,"10月1日",$G$5:$G$91)</f>
        <v>0</v>
      </c>
      <c r="Q4" s="32">
        <f>O4-P4</f>
        <v>0</v>
      </c>
    </row>
    <row r="5" spans="1:17" ht="14.25">
      <c r="A5" s="1"/>
      <c r="B5" s="10"/>
      <c r="C5" s="22" t="s">
        <v>33</v>
      </c>
      <c r="D5" s="11"/>
      <c r="E5" s="12"/>
      <c r="F5" s="13"/>
      <c r="G5" s="13"/>
      <c r="H5" s="14">
        <f>IF(OR(H4="",AND(F5="",G5="")),"",H4+F5-G5)</f>
      </c>
      <c r="J5" s="27" t="str">
        <f>IF('１月'!J5="","",'１月'!J5)</f>
        <v>製造原価</v>
      </c>
      <c r="K5" s="28">
        <f>K3-K4</f>
        <v>0</v>
      </c>
      <c r="M5" s="31">
        <v>40818</v>
      </c>
      <c r="N5" s="42" t="s">
        <v>66</v>
      </c>
      <c r="O5" s="28">
        <f>SUMIF($B$5:$B$91,"10月2日",$F$5:$F$91)</f>
        <v>0</v>
      </c>
      <c r="P5" s="28">
        <f>SUMIF($B$5:$B$91,"10月2日",$G$5:$G$91)</f>
        <v>0</v>
      </c>
      <c r="Q5" s="32">
        <f aca="true" t="shared" si="0" ref="Q5:Q35">O5-P5</f>
        <v>0</v>
      </c>
    </row>
    <row r="6" spans="1:17" ht="14.25">
      <c r="A6" s="1"/>
      <c r="B6" s="10"/>
      <c r="C6" s="22" t="s">
        <v>33</v>
      </c>
      <c r="D6" s="11"/>
      <c r="E6" s="12"/>
      <c r="F6" s="13"/>
      <c r="G6" s="13"/>
      <c r="H6" s="14">
        <f aca="true" t="shared" si="1" ref="H6:H69">IF(OR(H5="",AND(F6="",G6="")),"",H5+F6-G6)</f>
      </c>
      <c r="J6" s="27" t="str">
        <f>IF('１月'!J6="","",'１月'!J6)</f>
        <v>租税公課</v>
      </c>
      <c r="K6" s="28">
        <f>SUMIF($C$5:$C$91,J6,$G$5:$G$91)</f>
        <v>0</v>
      </c>
      <c r="M6" s="31">
        <v>40819</v>
      </c>
      <c r="N6" s="42" t="s">
        <v>67</v>
      </c>
      <c r="O6" s="28">
        <f>SUMIF($B$5:$B$91,"10月3日",$F$5:$F$91)</f>
        <v>0</v>
      </c>
      <c r="P6" s="28">
        <f>SUMIF($B$5:$B$91,"10月3日",$G$5:$G$91)</f>
        <v>0</v>
      </c>
      <c r="Q6" s="32">
        <f t="shared" si="0"/>
        <v>0</v>
      </c>
    </row>
    <row r="7" spans="1:17" ht="14.25">
      <c r="A7" s="1"/>
      <c r="B7" s="10"/>
      <c r="C7" s="22" t="s">
        <v>33</v>
      </c>
      <c r="D7" s="11"/>
      <c r="E7" s="12"/>
      <c r="F7" s="13"/>
      <c r="G7" s="13"/>
      <c r="H7" s="14">
        <f t="shared" si="1"/>
      </c>
      <c r="J7" s="27" t="str">
        <f>IF('１月'!J7="","",'１月'!J7)</f>
        <v>荷造運賃</v>
      </c>
      <c r="K7" s="28">
        <f aca="true" t="shared" si="2" ref="K7:K28">SUMIF($C$5:$C$91,J7,$G$5:$G$91)</f>
        <v>0</v>
      </c>
      <c r="M7" s="31">
        <v>40820</v>
      </c>
      <c r="N7" s="42" t="s">
        <v>68</v>
      </c>
      <c r="O7" s="28">
        <f>SUMIF($B$5:$B$91,"10月4日",$F$5:$F$91)</f>
        <v>0</v>
      </c>
      <c r="P7" s="28">
        <f>SUMIF($B$5:$B$91,"10月4日",$G$5:$G$91)</f>
        <v>0</v>
      </c>
      <c r="Q7" s="32">
        <f t="shared" si="0"/>
        <v>0</v>
      </c>
    </row>
    <row r="8" spans="1:17" ht="14.25">
      <c r="A8" s="1"/>
      <c r="B8" s="10"/>
      <c r="C8" s="22" t="s">
        <v>33</v>
      </c>
      <c r="D8" s="11"/>
      <c r="E8" s="12"/>
      <c r="F8" s="13"/>
      <c r="G8" s="13"/>
      <c r="H8" s="14">
        <f t="shared" si="1"/>
      </c>
      <c r="J8" s="27" t="str">
        <f>IF('１月'!J8="","",'１月'!J8)</f>
        <v>水道光熱費</v>
      </c>
      <c r="K8" s="28">
        <f t="shared" si="2"/>
        <v>0</v>
      </c>
      <c r="M8" s="31">
        <v>40821</v>
      </c>
      <c r="N8" s="42" t="s">
        <v>69</v>
      </c>
      <c r="O8" s="28">
        <f>SUMIF($B$5:$B$91,"10月5日",$F$5:$F$91)</f>
        <v>0</v>
      </c>
      <c r="P8" s="28">
        <f>SUMIF($B$5:$B$91,"10月5日",$G$5:$G$91)</f>
        <v>0</v>
      </c>
      <c r="Q8" s="32">
        <f t="shared" si="0"/>
        <v>0</v>
      </c>
    </row>
    <row r="9" spans="1:17" ht="14.25">
      <c r="A9" s="1"/>
      <c r="B9" s="10"/>
      <c r="C9" s="22" t="s">
        <v>33</v>
      </c>
      <c r="D9" s="11"/>
      <c r="E9" s="12"/>
      <c r="F9" s="13"/>
      <c r="G9" s="13"/>
      <c r="H9" s="14">
        <f t="shared" si="1"/>
      </c>
      <c r="J9" s="27" t="str">
        <f>IF('１月'!J9="","",'１月'!J9)</f>
        <v>旅費交通費</v>
      </c>
      <c r="K9" s="28">
        <f t="shared" si="2"/>
        <v>0</v>
      </c>
      <c r="M9" s="31">
        <v>40822</v>
      </c>
      <c r="N9" s="42" t="s">
        <v>70</v>
      </c>
      <c r="O9" s="28">
        <f>SUMIF($B$5:$B$91,"10月6日",$F$5:$F$91)</f>
        <v>0</v>
      </c>
      <c r="P9" s="28">
        <f>SUMIF($B$5:$B$91,"10月6日",$G$5:$G$91)</f>
        <v>0</v>
      </c>
      <c r="Q9" s="32">
        <f t="shared" si="0"/>
        <v>0</v>
      </c>
    </row>
    <row r="10" spans="1:17" ht="14.25">
      <c r="A10" s="15"/>
      <c r="B10" s="10"/>
      <c r="C10" s="22" t="s">
        <v>33</v>
      </c>
      <c r="D10" s="11"/>
      <c r="E10" s="12"/>
      <c r="F10" s="13"/>
      <c r="G10" s="13"/>
      <c r="H10" s="14">
        <f t="shared" si="1"/>
      </c>
      <c r="J10" s="27" t="str">
        <f>IF('１月'!J10="","",'１月'!J10)</f>
        <v>通信費</v>
      </c>
      <c r="K10" s="28">
        <f t="shared" si="2"/>
        <v>0</v>
      </c>
      <c r="M10" s="31">
        <v>40823</v>
      </c>
      <c r="N10" s="42" t="s">
        <v>71</v>
      </c>
      <c r="O10" s="28">
        <f>SUMIF($B$5:$B$91,"10月7日",$F$5:$F$91)</f>
        <v>0</v>
      </c>
      <c r="P10" s="28">
        <f>SUMIF($B$5:$B$91,"10月7日",$G$5:$G$91)</f>
        <v>0</v>
      </c>
      <c r="Q10" s="32">
        <f t="shared" si="0"/>
        <v>0</v>
      </c>
    </row>
    <row r="11" spans="1:17" ht="14.25">
      <c r="A11" s="15"/>
      <c r="B11" s="10"/>
      <c r="C11" s="22" t="s">
        <v>33</v>
      </c>
      <c r="D11" s="11"/>
      <c r="E11" s="12"/>
      <c r="F11" s="13"/>
      <c r="G11" s="13"/>
      <c r="H11" s="14">
        <f t="shared" si="1"/>
      </c>
      <c r="J11" s="27" t="str">
        <f>IF('１月'!J11="","",'１月'!J11)</f>
        <v>広告宣伝費</v>
      </c>
      <c r="K11" s="28">
        <f t="shared" si="2"/>
        <v>0</v>
      </c>
      <c r="M11" s="31">
        <v>40824</v>
      </c>
      <c r="N11" s="42" t="s">
        <v>72</v>
      </c>
      <c r="O11" s="28">
        <f>SUMIF($B$5:$B$91,"10月8日",$F$5:$F$91)</f>
        <v>0</v>
      </c>
      <c r="P11" s="28">
        <f>SUMIF($B$5:$B$91,"10月8日",$G$5:$G$91)</f>
        <v>0</v>
      </c>
      <c r="Q11" s="32">
        <f t="shared" si="0"/>
        <v>0</v>
      </c>
    </row>
    <row r="12" spans="1:17" ht="14.25">
      <c r="A12" s="15"/>
      <c r="B12" s="10"/>
      <c r="C12" s="22" t="s">
        <v>33</v>
      </c>
      <c r="D12" s="11"/>
      <c r="E12" s="12"/>
      <c r="F12" s="13"/>
      <c r="G12" s="13"/>
      <c r="H12" s="14">
        <f t="shared" si="1"/>
      </c>
      <c r="J12" s="27" t="str">
        <f>IF('１月'!J12="","",'１月'!J12)</f>
        <v>接待交際費</v>
      </c>
      <c r="K12" s="28">
        <f t="shared" si="2"/>
        <v>0</v>
      </c>
      <c r="M12" s="31">
        <v>40825</v>
      </c>
      <c r="N12" s="42" t="s">
        <v>66</v>
      </c>
      <c r="O12" s="28">
        <f>SUMIF($B$5:$B$91,"10月9日",$F$5:$F$91)</f>
        <v>0</v>
      </c>
      <c r="P12" s="28">
        <f>SUMIF($B$5:$B$91,"10月9日",$G$5:$G$91)</f>
        <v>0</v>
      </c>
      <c r="Q12" s="32">
        <f t="shared" si="0"/>
        <v>0</v>
      </c>
    </row>
    <row r="13" spans="1:17" ht="14.25">
      <c r="A13" s="15"/>
      <c r="B13" s="10"/>
      <c r="C13" s="22" t="s">
        <v>33</v>
      </c>
      <c r="D13" s="11"/>
      <c r="E13" s="12"/>
      <c r="F13" s="13"/>
      <c r="G13" s="13"/>
      <c r="H13" s="14">
        <f t="shared" si="1"/>
      </c>
      <c r="J13" s="27" t="str">
        <f>IF('１月'!J13="","",'１月'!J13)</f>
        <v>損害保険料</v>
      </c>
      <c r="K13" s="28">
        <f t="shared" si="2"/>
        <v>0</v>
      </c>
      <c r="M13" s="31">
        <v>40826</v>
      </c>
      <c r="N13" s="42" t="s">
        <v>67</v>
      </c>
      <c r="O13" s="28">
        <f>SUMIF($B$5:$B$91,"10月10日",$F$5:$F$91)</f>
        <v>0</v>
      </c>
      <c r="P13" s="28">
        <f>SUMIF($B$5:$B$91,"10月10日",$G$5:$G$91)</f>
        <v>0</v>
      </c>
      <c r="Q13" s="32">
        <f t="shared" si="0"/>
        <v>0</v>
      </c>
    </row>
    <row r="14" spans="1:17" ht="14.25">
      <c r="A14" s="15"/>
      <c r="B14" s="10"/>
      <c r="C14" s="22" t="s">
        <v>33</v>
      </c>
      <c r="D14" s="11"/>
      <c r="E14" s="12"/>
      <c r="F14" s="13"/>
      <c r="G14" s="13"/>
      <c r="H14" s="14">
        <f t="shared" si="1"/>
      </c>
      <c r="J14" s="27" t="str">
        <f>IF('１月'!J14="","",'１月'!J14)</f>
        <v>修繕費</v>
      </c>
      <c r="K14" s="28">
        <f t="shared" si="2"/>
        <v>0</v>
      </c>
      <c r="M14" s="31">
        <v>40827</v>
      </c>
      <c r="N14" s="42" t="s">
        <v>68</v>
      </c>
      <c r="O14" s="28">
        <f>SUMIF($B$5:$B$91,"10月11日",$F$5:$F$91)</f>
        <v>0</v>
      </c>
      <c r="P14" s="28">
        <f>SUMIF($B$5:$B$91,"10月11日",$G$5:$G$91)</f>
        <v>0</v>
      </c>
      <c r="Q14" s="32">
        <f t="shared" si="0"/>
        <v>0</v>
      </c>
    </row>
    <row r="15" spans="1:17" ht="14.25">
      <c r="A15" s="15"/>
      <c r="B15" s="10"/>
      <c r="C15" s="22" t="s">
        <v>33</v>
      </c>
      <c r="D15" s="11"/>
      <c r="E15" s="16"/>
      <c r="F15" s="13"/>
      <c r="G15" s="13"/>
      <c r="H15" s="14">
        <f t="shared" si="1"/>
      </c>
      <c r="J15" s="27" t="str">
        <f>IF('１月'!J15="","",'１月'!J15)</f>
        <v>消耗品費</v>
      </c>
      <c r="K15" s="28">
        <f t="shared" si="2"/>
        <v>0</v>
      </c>
      <c r="M15" s="31">
        <v>40828</v>
      </c>
      <c r="N15" s="42" t="s">
        <v>69</v>
      </c>
      <c r="O15" s="28">
        <f>SUMIF($B$5:$B$91,"10月12日",$F$5:$F$91)</f>
        <v>0</v>
      </c>
      <c r="P15" s="28">
        <f>SUMIF($B$5:$B$91,"10月12日",$G$5:$G$91)</f>
        <v>0</v>
      </c>
      <c r="Q15" s="32">
        <f t="shared" si="0"/>
        <v>0</v>
      </c>
    </row>
    <row r="16" spans="1:17" ht="14.25">
      <c r="A16" s="15"/>
      <c r="B16" s="10"/>
      <c r="C16" s="22" t="s">
        <v>33</v>
      </c>
      <c r="D16" s="11"/>
      <c r="E16" s="12"/>
      <c r="F16" s="13"/>
      <c r="G16" s="13"/>
      <c r="H16" s="14">
        <f t="shared" si="1"/>
      </c>
      <c r="J16" s="27" t="str">
        <f>IF('１月'!J16="","",'１月'!J16)</f>
        <v>福利厚生費</v>
      </c>
      <c r="K16" s="28">
        <f t="shared" si="2"/>
        <v>0</v>
      </c>
      <c r="M16" s="31">
        <v>40829</v>
      </c>
      <c r="N16" s="42" t="s">
        <v>70</v>
      </c>
      <c r="O16" s="28">
        <f>SUMIF($B$5:$B$91,"10月13日",$F$5:$F$91)</f>
        <v>0</v>
      </c>
      <c r="P16" s="28">
        <f>SUMIF($B$5:$B$91,"10月13日",$G$5:$G$91)</f>
        <v>0</v>
      </c>
      <c r="Q16" s="32">
        <f t="shared" si="0"/>
        <v>0</v>
      </c>
    </row>
    <row r="17" spans="1:17" ht="14.25">
      <c r="A17" s="15"/>
      <c r="B17" s="10"/>
      <c r="C17" s="22" t="s">
        <v>33</v>
      </c>
      <c r="D17" s="11"/>
      <c r="E17" s="12"/>
      <c r="F17" s="13"/>
      <c r="G17" s="13"/>
      <c r="H17" s="14">
        <f t="shared" si="1"/>
      </c>
      <c r="J17" s="27" t="str">
        <f>IF('１月'!J17="","",'１月'!J17)</f>
        <v>給与賃金</v>
      </c>
      <c r="K17" s="28">
        <f t="shared" si="2"/>
        <v>0</v>
      </c>
      <c r="M17" s="31">
        <v>40830</v>
      </c>
      <c r="N17" s="42" t="s">
        <v>71</v>
      </c>
      <c r="O17" s="28">
        <f>SUMIF($B$5:$B$91,"10月14日",$F$5:$F$91)</f>
        <v>0</v>
      </c>
      <c r="P17" s="28">
        <f>SUMIF($B$5:$B$91,"10月14日",$G$5:$G$91)</f>
        <v>0</v>
      </c>
      <c r="Q17" s="32">
        <f t="shared" si="0"/>
        <v>0</v>
      </c>
    </row>
    <row r="18" spans="1:17" ht="14.25">
      <c r="A18" s="15"/>
      <c r="B18" s="10"/>
      <c r="C18" s="22" t="s">
        <v>33</v>
      </c>
      <c r="D18" s="11"/>
      <c r="E18" s="12"/>
      <c r="F18" s="13"/>
      <c r="G18" s="13"/>
      <c r="H18" s="14">
        <f t="shared" si="1"/>
      </c>
      <c r="J18" s="27" t="str">
        <f>IF('１月'!J18="","",'１月'!J18)</f>
        <v>利子割引料</v>
      </c>
      <c r="K18" s="28">
        <f t="shared" si="2"/>
        <v>0</v>
      </c>
      <c r="M18" s="31">
        <v>40831</v>
      </c>
      <c r="N18" s="42" t="s">
        <v>72</v>
      </c>
      <c r="O18" s="28">
        <f>SUMIF($B$5:$B$91,"10月15日",$F$5:$F$91)</f>
        <v>0</v>
      </c>
      <c r="P18" s="28">
        <f>SUMIF($B$5:$B$91,"10月15日",$G$5:$G$91)</f>
        <v>0</v>
      </c>
      <c r="Q18" s="32">
        <f t="shared" si="0"/>
        <v>0</v>
      </c>
    </row>
    <row r="19" spans="1:17" ht="14.25">
      <c r="A19" s="15"/>
      <c r="B19" s="10"/>
      <c r="C19" s="22" t="s">
        <v>33</v>
      </c>
      <c r="D19" s="11"/>
      <c r="E19" s="12"/>
      <c r="F19" s="13"/>
      <c r="G19" s="13"/>
      <c r="H19" s="14">
        <f t="shared" si="1"/>
      </c>
      <c r="J19" s="27" t="str">
        <f>IF('１月'!J19="","",'１月'!J19)</f>
        <v>地代家賃</v>
      </c>
      <c r="K19" s="28">
        <f t="shared" si="2"/>
        <v>0</v>
      </c>
      <c r="M19" s="31">
        <v>40832</v>
      </c>
      <c r="N19" s="42" t="s">
        <v>66</v>
      </c>
      <c r="O19" s="28">
        <f>SUMIF($B$5:$B$91,"10月16日",$F$5:$F$91)</f>
        <v>0</v>
      </c>
      <c r="P19" s="28">
        <f>SUMIF($B$5:$B$91,"10月16日",$G$5:$G$91)</f>
        <v>0</v>
      </c>
      <c r="Q19" s="32">
        <f t="shared" si="0"/>
        <v>0</v>
      </c>
    </row>
    <row r="20" spans="1:17" ht="14.25">
      <c r="A20" s="15"/>
      <c r="B20" s="10"/>
      <c r="C20" s="22" t="s">
        <v>33</v>
      </c>
      <c r="D20" s="11"/>
      <c r="E20" s="12"/>
      <c r="F20" s="13"/>
      <c r="G20" s="13"/>
      <c r="H20" s="14">
        <f t="shared" si="1"/>
      </c>
      <c r="J20" s="27" t="str">
        <f>IF('１月'!J20="","",'１月'!J20)</f>
        <v>貸倒金</v>
      </c>
      <c r="K20" s="28">
        <f t="shared" si="2"/>
        <v>0</v>
      </c>
      <c r="M20" s="31">
        <v>40833</v>
      </c>
      <c r="N20" s="42" t="s">
        <v>67</v>
      </c>
      <c r="O20" s="28">
        <f>SUMIF($B$5:$B$91,"10月17日",$F$5:$F$91)</f>
        <v>0</v>
      </c>
      <c r="P20" s="28">
        <f>SUMIF($B$5:$B$91,"10月17日",$G$5:$G$91)</f>
        <v>0</v>
      </c>
      <c r="Q20" s="32">
        <f t="shared" si="0"/>
        <v>0</v>
      </c>
    </row>
    <row r="21" spans="1:17" ht="14.25">
      <c r="A21" s="15"/>
      <c r="B21" s="10"/>
      <c r="C21" s="22" t="s">
        <v>33</v>
      </c>
      <c r="D21" s="11"/>
      <c r="E21" s="16"/>
      <c r="F21" s="13"/>
      <c r="G21" s="13"/>
      <c r="H21" s="14">
        <f t="shared" si="1"/>
      </c>
      <c r="J21" s="27" t="str">
        <f>IF('１月'!J21="","",'１月'!J21)</f>
        <v>専従者給与</v>
      </c>
      <c r="K21" s="28">
        <f t="shared" si="2"/>
        <v>0</v>
      </c>
      <c r="M21" s="31">
        <v>40834</v>
      </c>
      <c r="N21" s="42" t="s">
        <v>68</v>
      </c>
      <c r="O21" s="28">
        <f>SUMIF($B$5:$B$91,"10月18日",$F$5:$F$91)</f>
        <v>0</v>
      </c>
      <c r="P21" s="28">
        <f>SUMIF($B$5:$B$91,"10月18日",$G$5:$G$91)</f>
        <v>0</v>
      </c>
      <c r="Q21" s="32">
        <f t="shared" si="0"/>
        <v>0</v>
      </c>
    </row>
    <row r="22" spans="1:17" ht="14.25">
      <c r="A22" s="15"/>
      <c r="B22" s="10"/>
      <c r="C22" s="22" t="s">
        <v>33</v>
      </c>
      <c r="D22" s="11"/>
      <c r="E22" s="12"/>
      <c r="F22" s="13"/>
      <c r="G22" s="13"/>
      <c r="H22" s="14">
        <f t="shared" si="1"/>
      </c>
      <c r="J22" s="27" t="str">
        <f>IF('１月'!J22="","",'１月'!J22)</f>
        <v>リース料</v>
      </c>
      <c r="K22" s="28">
        <f t="shared" si="2"/>
        <v>0</v>
      </c>
      <c r="M22" s="31">
        <v>40835</v>
      </c>
      <c r="N22" s="42" t="s">
        <v>69</v>
      </c>
      <c r="O22" s="28">
        <f>SUMIF($B$5:$B$91,"10月19日",$F$5:$F$91)</f>
        <v>0</v>
      </c>
      <c r="P22" s="28">
        <f>SUMIF($B$5:$B$91,"10月19日",$G$5:$G$91)</f>
        <v>0</v>
      </c>
      <c r="Q22" s="32">
        <f t="shared" si="0"/>
        <v>0</v>
      </c>
    </row>
    <row r="23" spans="1:17" ht="14.25">
      <c r="A23" s="15"/>
      <c r="B23" s="10"/>
      <c r="C23" s="22" t="s">
        <v>33</v>
      </c>
      <c r="D23" s="11"/>
      <c r="E23" s="12"/>
      <c r="F23" s="13"/>
      <c r="G23" s="13"/>
      <c r="H23" s="14">
        <f t="shared" si="1"/>
      </c>
      <c r="J23" s="27" t="str">
        <f>IF('１月'!J23="","",'１月'!J23)</f>
        <v>外注費</v>
      </c>
      <c r="K23" s="28">
        <f t="shared" si="2"/>
        <v>0</v>
      </c>
      <c r="M23" s="31">
        <v>40836</v>
      </c>
      <c r="N23" s="42" t="s">
        <v>70</v>
      </c>
      <c r="O23" s="28">
        <f>SUMIF($B$5:$B$91,"10月20日",$F$5:$F$91)</f>
        <v>0</v>
      </c>
      <c r="P23" s="28">
        <f>SUMIF($B$5:$B$91,"10月20日",$G$5:$G$91)</f>
        <v>0</v>
      </c>
      <c r="Q23" s="32">
        <f t="shared" si="0"/>
        <v>0</v>
      </c>
    </row>
    <row r="24" spans="1:17" ht="14.25">
      <c r="A24" s="15"/>
      <c r="B24" s="10"/>
      <c r="C24" s="22" t="s">
        <v>33</v>
      </c>
      <c r="D24" s="11"/>
      <c r="E24" s="12"/>
      <c r="F24" s="13"/>
      <c r="G24" s="13"/>
      <c r="H24" s="14">
        <f t="shared" si="1"/>
      </c>
      <c r="J24" s="27">
        <f>IF('１月'!J24="","",'１月'!J24)</f>
      </c>
      <c r="K24" s="28">
        <f t="shared" si="2"/>
        <v>0</v>
      </c>
      <c r="M24" s="31">
        <v>40837</v>
      </c>
      <c r="N24" s="42" t="s">
        <v>71</v>
      </c>
      <c r="O24" s="28">
        <f>SUMIF($B$5:$B$91,"10月21日",$F$5:$F$91)</f>
        <v>0</v>
      </c>
      <c r="P24" s="28">
        <f>SUMIF($B$5:$B$91,"10月21日",$G$5:$G$91)</f>
        <v>0</v>
      </c>
      <c r="Q24" s="32">
        <f t="shared" si="0"/>
        <v>0</v>
      </c>
    </row>
    <row r="25" spans="1:17" ht="14.25">
      <c r="A25" s="15"/>
      <c r="B25" s="10"/>
      <c r="C25" s="22" t="s">
        <v>33</v>
      </c>
      <c r="D25" s="11"/>
      <c r="E25" s="12"/>
      <c r="F25" s="13"/>
      <c r="G25" s="13"/>
      <c r="H25" s="14">
        <f t="shared" si="1"/>
      </c>
      <c r="J25" s="27" t="str">
        <f>IF('１月'!J25="","",'１月'!J25)</f>
        <v>　</v>
      </c>
      <c r="K25" s="28">
        <f t="shared" si="2"/>
        <v>0</v>
      </c>
      <c r="M25" s="31">
        <v>40838</v>
      </c>
      <c r="N25" s="42" t="s">
        <v>72</v>
      </c>
      <c r="O25" s="28">
        <f>SUMIF($B$5:$B$91,"10月22日",$F$5:$F$91)</f>
        <v>0</v>
      </c>
      <c r="P25" s="28">
        <f>SUMIF($B$5:$B$91,"10月22日",$G$5:$G$91)</f>
        <v>0</v>
      </c>
      <c r="Q25" s="32">
        <f t="shared" si="0"/>
        <v>0</v>
      </c>
    </row>
    <row r="26" spans="1:17" ht="14.25">
      <c r="A26" s="15"/>
      <c r="B26" s="10"/>
      <c r="C26" s="22" t="s">
        <v>33</v>
      </c>
      <c r="D26" s="11"/>
      <c r="E26" s="12"/>
      <c r="F26" s="13"/>
      <c r="G26" s="13"/>
      <c r="H26" s="14">
        <f t="shared" si="1"/>
      </c>
      <c r="J26" s="27">
        <f>IF('１月'!J26="","",'１月'!J26)</f>
      </c>
      <c r="K26" s="28">
        <f t="shared" si="2"/>
        <v>0</v>
      </c>
      <c r="M26" s="31">
        <v>40839</v>
      </c>
      <c r="N26" s="42" t="s">
        <v>66</v>
      </c>
      <c r="O26" s="28">
        <f>SUMIF($B$5:$B$91,"10月23日",$F$5:$F$91)</f>
        <v>0</v>
      </c>
      <c r="P26" s="28">
        <f>SUMIF($B$5:$B$91,"10月23日",$G$5:$G$91)</f>
        <v>0</v>
      </c>
      <c r="Q26" s="32">
        <f t="shared" si="0"/>
        <v>0</v>
      </c>
    </row>
    <row r="27" spans="1:17" ht="14.25">
      <c r="A27" s="15"/>
      <c r="B27" s="10"/>
      <c r="C27" s="22" t="s">
        <v>33</v>
      </c>
      <c r="D27" s="11"/>
      <c r="E27" s="12"/>
      <c r="F27" s="13"/>
      <c r="G27" s="13"/>
      <c r="H27" s="14">
        <f t="shared" si="1"/>
      </c>
      <c r="J27" s="27">
        <f>IF('１月'!J27="","",'１月'!J27)</f>
      </c>
      <c r="K27" s="28">
        <f t="shared" si="2"/>
        <v>0</v>
      </c>
      <c r="M27" s="31">
        <v>40840</v>
      </c>
      <c r="N27" s="42" t="s">
        <v>67</v>
      </c>
      <c r="O27" s="28">
        <f>SUMIF($B$5:$B$91,"10月24日",$F$5:$F$91)</f>
        <v>0</v>
      </c>
      <c r="P27" s="28">
        <f>SUMIF($B$5:$B$91,"10月24日",$G$5:$G$91)</f>
        <v>0</v>
      </c>
      <c r="Q27" s="32">
        <f t="shared" si="0"/>
        <v>0</v>
      </c>
    </row>
    <row r="28" spans="1:17" ht="14.25">
      <c r="A28" s="15"/>
      <c r="B28" s="10"/>
      <c r="C28" s="22" t="s">
        <v>33</v>
      </c>
      <c r="D28" s="11"/>
      <c r="E28" s="12"/>
      <c r="F28" s="13"/>
      <c r="G28" s="13"/>
      <c r="H28" s="14">
        <f t="shared" si="1"/>
      </c>
      <c r="J28" s="27" t="str">
        <f>IF('１月'!J28="","",'１月'!J28)</f>
        <v>雑費</v>
      </c>
      <c r="K28" s="28">
        <f t="shared" si="2"/>
        <v>0</v>
      </c>
      <c r="M28" s="31">
        <v>40841</v>
      </c>
      <c r="N28" s="42" t="s">
        <v>68</v>
      </c>
      <c r="O28" s="28">
        <f>SUMIF($B$5:$B$91,"10月25日",$F$5:$F$91)</f>
        <v>0</v>
      </c>
      <c r="P28" s="28">
        <f>SUMIF($B$5:$B$91,"10月25日",$G$5:$G$91)</f>
        <v>0</v>
      </c>
      <c r="Q28" s="32">
        <f t="shared" si="0"/>
        <v>0</v>
      </c>
    </row>
    <row r="29" spans="1:17" ht="14.25">
      <c r="A29" s="15"/>
      <c r="B29" s="10"/>
      <c r="C29" s="22" t="s">
        <v>33</v>
      </c>
      <c r="D29" s="11"/>
      <c r="E29" s="12"/>
      <c r="F29" s="13"/>
      <c r="G29" s="13"/>
      <c r="H29" s="14">
        <f t="shared" si="1"/>
      </c>
      <c r="J29" s="27" t="str">
        <f>IF('１月'!J29="","",'１月'!J29)</f>
        <v>経費合計</v>
      </c>
      <c r="K29" s="28">
        <f>SUM(K6:K28)</f>
        <v>0</v>
      </c>
      <c r="M29" s="31">
        <v>40842</v>
      </c>
      <c r="N29" s="42" t="s">
        <v>69</v>
      </c>
      <c r="O29" s="28">
        <f>SUMIF($B$5:$B$91,"10月26日",$F$5:$F$91)</f>
        <v>0</v>
      </c>
      <c r="P29" s="28">
        <f>SUMIF($B$5:$B$91,"10月26日",$G$5:$G$91)</f>
        <v>0</v>
      </c>
      <c r="Q29" s="32">
        <f t="shared" si="0"/>
        <v>0</v>
      </c>
    </row>
    <row r="30" spans="1:17" ht="14.25">
      <c r="A30" s="15"/>
      <c r="B30" s="10"/>
      <c r="C30" s="22" t="s">
        <v>33</v>
      </c>
      <c r="D30" s="11"/>
      <c r="E30" s="12"/>
      <c r="F30" s="13"/>
      <c r="G30" s="13"/>
      <c r="H30" s="14">
        <f t="shared" si="1"/>
      </c>
      <c r="J30" s="27" t="str">
        <f>IF('１月'!J30="","",'１月'!J30)</f>
        <v>利益</v>
      </c>
      <c r="K30" s="28">
        <f>K5-K29</f>
        <v>0</v>
      </c>
      <c r="M30" s="31">
        <v>40843</v>
      </c>
      <c r="N30" s="42" t="s">
        <v>70</v>
      </c>
      <c r="O30" s="28">
        <f>SUMIF($B$5:$B$91,"10月27日",$F$5:$F$91)</f>
        <v>0</v>
      </c>
      <c r="P30" s="28">
        <f>SUMIF($B$5:$B$91,"10月27日",$G$5:$G$91)</f>
        <v>0</v>
      </c>
      <c r="Q30" s="32">
        <f t="shared" si="0"/>
        <v>0</v>
      </c>
    </row>
    <row r="31" spans="1:17" ht="13.5">
      <c r="A31" s="15"/>
      <c r="B31" s="10"/>
      <c r="C31" s="22" t="s">
        <v>33</v>
      </c>
      <c r="D31" s="11"/>
      <c r="E31" s="12"/>
      <c r="F31" s="13"/>
      <c r="G31" s="13"/>
      <c r="H31" s="14">
        <f t="shared" si="1"/>
      </c>
      <c r="J31" s="27" t="str">
        <f>IF('１月'!J31="","",'１月'!J31)</f>
        <v>入金</v>
      </c>
      <c r="K31" s="28">
        <f>SUMIF($C$5:$C$91,J31,$F$5:$F$91)</f>
        <v>0</v>
      </c>
      <c r="M31" s="31">
        <v>40844</v>
      </c>
      <c r="N31" s="42" t="s">
        <v>71</v>
      </c>
      <c r="O31" s="28">
        <f>SUMIF($B$5:$B$91,"10月28日",$F$5:$F$91)</f>
        <v>0</v>
      </c>
      <c r="P31" s="28">
        <f>SUMIF($B$5:$B$91,"10月28日",$G$5:$G$91)</f>
        <v>0</v>
      </c>
      <c r="Q31" s="32">
        <f t="shared" si="0"/>
        <v>0</v>
      </c>
    </row>
    <row r="32" spans="1:17" ht="13.5">
      <c r="A32" s="15"/>
      <c r="B32" s="10"/>
      <c r="C32" s="22" t="s">
        <v>33</v>
      </c>
      <c r="D32" s="11"/>
      <c r="E32" s="12"/>
      <c r="F32" s="13"/>
      <c r="G32" s="13"/>
      <c r="H32" s="14">
        <f t="shared" si="1"/>
      </c>
      <c r="J32" s="27" t="str">
        <f>IF('１月'!J32="","",'１月'!J32)</f>
        <v>その他支払い</v>
      </c>
      <c r="K32" s="28">
        <f>SUMIF($C$5:$C$91,J32,$G$5:$G$91)</f>
        <v>0</v>
      </c>
      <c r="M32" s="31">
        <v>40845</v>
      </c>
      <c r="N32" s="42" t="s">
        <v>72</v>
      </c>
      <c r="O32" s="28">
        <f>SUMIF($B$5:$B$91,"10月29日",$F$5:$F$91)</f>
        <v>0</v>
      </c>
      <c r="P32" s="28">
        <f>SUMIF($B$5:$B$91,"10月29日",$G$5:$G$91)</f>
        <v>0</v>
      </c>
      <c r="Q32" s="32">
        <f t="shared" si="0"/>
        <v>0</v>
      </c>
    </row>
    <row r="33" spans="1:17" ht="13.5">
      <c r="A33" s="15"/>
      <c r="B33" s="10"/>
      <c r="C33" s="22" t="s">
        <v>33</v>
      </c>
      <c r="D33" s="11"/>
      <c r="E33" s="12"/>
      <c r="F33" s="13"/>
      <c r="G33" s="13"/>
      <c r="H33" s="14">
        <f t="shared" si="1"/>
      </c>
      <c r="K33" s="3"/>
      <c r="M33" s="31">
        <v>40846</v>
      </c>
      <c r="N33" s="42" t="s">
        <v>66</v>
      </c>
      <c r="O33" s="28">
        <f>SUMIF($B$5:$B$91,"10月30日",$F$5:$F$91)</f>
        <v>0</v>
      </c>
      <c r="P33" s="28">
        <f>SUMIF($B$5:$B$91,"10月30日",$G$5:$G$91)</f>
        <v>0</v>
      </c>
      <c r="Q33" s="32">
        <f t="shared" si="0"/>
        <v>0</v>
      </c>
    </row>
    <row r="34" spans="1:17" ht="13.5">
      <c r="A34" s="15"/>
      <c r="B34" s="10"/>
      <c r="C34" s="22" t="s">
        <v>33</v>
      </c>
      <c r="D34" s="11"/>
      <c r="E34" s="12"/>
      <c r="F34" s="13"/>
      <c r="G34" s="13"/>
      <c r="H34" s="14">
        <f t="shared" si="1"/>
      </c>
      <c r="K34" s="3"/>
      <c r="M34" s="31">
        <v>40847</v>
      </c>
      <c r="N34" s="42" t="s">
        <v>67</v>
      </c>
      <c r="O34" s="28">
        <f>SUMIF($B$5:$B$91,"10月31日",$F$5:$F$91)</f>
        <v>0</v>
      </c>
      <c r="P34" s="28">
        <f>SUMIF($B$5:$B$91,"10月31日",$G$5:$G$91)</f>
        <v>0</v>
      </c>
      <c r="Q34" s="32">
        <f t="shared" si="0"/>
        <v>0</v>
      </c>
    </row>
    <row r="35" spans="1:17" ht="13.5">
      <c r="A35" s="15"/>
      <c r="B35" s="10"/>
      <c r="C35" s="22" t="s">
        <v>33</v>
      </c>
      <c r="D35" s="11"/>
      <c r="E35" s="12"/>
      <c r="F35" s="13"/>
      <c r="G35" s="13"/>
      <c r="H35" s="14">
        <f t="shared" si="1"/>
      </c>
      <c r="K35" s="3"/>
      <c r="M35" s="27"/>
      <c r="N35" s="27"/>
      <c r="O35" s="32">
        <f>SUM(O4:O34)</f>
        <v>0</v>
      </c>
      <c r="P35" s="32">
        <f>SUM(P4:P34)</f>
        <v>0</v>
      </c>
      <c r="Q35" s="32">
        <f t="shared" si="0"/>
        <v>0</v>
      </c>
    </row>
    <row r="36" spans="1:8" ht="13.5">
      <c r="A36" s="15"/>
      <c r="B36" s="10"/>
      <c r="C36" s="22" t="s">
        <v>33</v>
      </c>
      <c r="D36" s="11"/>
      <c r="E36" s="12"/>
      <c r="F36" s="13"/>
      <c r="G36" s="13"/>
      <c r="H36" s="14">
        <f t="shared" si="1"/>
      </c>
    </row>
    <row r="37" spans="1:11" ht="13.5">
      <c r="A37" s="15"/>
      <c r="B37" s="10"/>
      <c r="C37" s="22" t="s">
        <v>33</v>
      </c>
      <c r="D37" s="11"/>
      <c r="E37" s="12"/>
      <c r="F37" s="13"/>
      <c r="G37" s="13"/>
      <c r="H37" s="14">
        <f t="shared" si="1"/>
      </c>
      <c r="J37" s="27">
        <f>IF('１月'!J37="","",'１月'!J37)</f>
      </c>
      <c r="K37" s="28">
        <f aca="true" t="shared" si="3" ref="K37:K46">SUMIF($D$5:$D$91,J37,$G$5:$G$91)</f>
        <v>0</v>
      </c>
    </row>
    <row r="38" spans="1:11" ht="13.5">
      <c r="A38" s="15"/>
      <c r="B38" s="10"/>
      <c r="C38" s="22" t="s">
        <v>33</v>
      </c>
      <c r="D38" s="11"/>
      <c r="E38" s="12"/>
      <c r="F38" s="13"/>
      <c r="G38" s="13"/>
      <c r="H38" s="14">
        <f t="shared" si="1"/>
      </c>
      <c r="J38" s="27">
        <f>IF('１月'!J38="","",'１月'!J38)</f>
      </c>
      <c r="K38" s="28">
        <f t="shared" si="3"/>
        <v>0</v>
      </c>
    </row>
    <row r="39" spans="1:11" ht="13.5">
      <c r="A39" s="15"/>
      <c r="B39" s="10"/>
      <c r="C39" s="22" t="s">
        <v>33</v>
      </c>
      <c r="D39" s="11"/>
      <c r="E39" s="12"/>
      <c r="F39" s="13"/>
      <c r="G39" s="13"/>
      <c r="H39" s="14">
        <f t="shared" si="1"/>
      </c>
      <c r="J39" s="27">
        <f>IF('１月'!J39="","",'１月'!J39)</f>
      </c>
      <c r="K39" s="28">
        <f t="shared" si="3"/>
        <v>0</v>
      </c>
    </row>
    <row r="40" spans="1:11" ht="13.5">
      <c r="A40" s="15"/>
      <c r="B40" s="10"/>
      <c r="C40" s="22" t="s">
        <v>33</v>
      </c>
      <c r="D40" s="11"/>
      <c r="E40" s="12"/>
      <c r="F40" s="13"/>
      <c r="G40" s="13"/>
      <c r="H40" s="14">
        <f t="shared" si="1"/>
      </c>
      <c r="J40" s="27">
        <f>IF('１月'!J40="","",'１月'!J40)</f>
      </c>
      <c r="K40" s="28">
        <f t="shared" si="3"/>
        <v>0</v>
      </c>
    </row>
    <row r="41" spans="1:11" ht="13.5">
      <c r="A41" s="15"/>
      <c r="B41" s="10"/>
      <c r="C41" s="22" t="s">
        <v>33</v>
      </c>
      <c r="D41" s="11"/>
      <c r="E41" s="12"/>
      <c r="F41" s="13"/>
      <c r="G41" s="13"/>
      <c r="H41" s="14">
        <f t="shared" si="1"/>
      </c>
      <c r="J41" s="27">
        <f>IF('１月'!J41="","",'１月'!J41)</f>
      </c>
      <c r="K41" s="28">
        <f t="shared" si="3"/>
        <v>0</v>
      </c>
    </row>
    <row r="42" spans="1:11" ht="13.5">
      <c r="A42" s="15"/>
      <c r="B42" s="10"/>
      <c r="C42" s="22" t="s">
        <v>33</v>
      </c>
      <c r="D42" s="11"/>
      <c r="E42" s="12"/>
      <c r="F42" s="13"/>
      <c r="G42" s="13"/>
      <c r="H42" s="14">
        <f t="shared" si="1"/>
      </c>
      <c r="J42" s="27">
        <f>IF('１月'!J42="","",'１月'!J42)</f>
      </c>
      <c r="K42" s="28">
        <f t="shared" si="3"/>
        <v>0</v>
      </c>
    </row>
    <row r="43" spans="1:11" ht="13.5">
      <c r="A43" s="15"/>
      <c r="B43" s="10"/>
      <c r="C43" s="22" t="s">
        <v>33</v>
      </c>
      <c r="D43" s="11"/>
      <c r="E43" s="12"/>
      <c r="F43" s="13"/>
      <c r="G43" s="13"/>
      <c r="H43" s="14">
        <f t="shared" si="1"/>
      </c>
      <c r="J43" s="27">
        <f>IF('１月'!J43="","",'１月'!J43)</f>
      </c>
      <c r="K43" s="28">
        <f t="shared" si="3"/>
        <v>0</v>
      </c>
    </row>
    <row r="44" spans="1:11" ht="13.5">
      <c r="A44" s="15"/>
      <c r="B44" s="10"/>
      <c r="C44" s="22" t="s">
        <v>33</v>
      </c>
      <c r="D44" s="11"/>
      <c r="E44" s="12"/>
      <c r="F44" s="13"/>
      <c r="G44" s="13"/>
      <c r="H44" s="14">
        <f t="shared" si="1"/>
      </c>
      <c r="J44" s="27">
        <f>IF('１月'!J44="","",'１月'!J44)</f>
      </c>
      <c r="K44" s="28">
        <f t="shared" si="3"/>
        <v>0</v>
      </c>
    </row>
    <row r="45" spans="1:11" ht="13.5">
      <c r="A45" s="15"/>
      <c r="B45" s="10"/>
      <c r="C45" s="22" t="s">
        <v>33</v>
      </c>
      <c r="D45" s="11"/>
      <c r="E45" s="12"/>
      <c r="F45" s="13"/>
      <c r="G45" s="13"/>
      <c r="H45" s="14">
        <f t="shared" si="1"/>
      </c>
      <c r="J45" s="27">
        <f>IF('１月'!J45="","",'１月'!J45)</f>
      </c>
      <c r="K45" s="28">
        <f t="shared" si="3"/>
        <v>0</v>
      </c>
    </row>
    <row r="46" spans="1:11" ht="13.5">
      <c r="A46" s="15"/>
      <c r="B46" s="10"/>
      <c r="C46" s="22" t="s">
        <v>33</v>
      </c>
      <c r="D46" s="11"/>
      <c r="E46" s="12"/>
      <c r="F46" s="13"/>
      <c r="G46" s="13"/>
      <c r="H46" s="14">
        <f t="shared" si="1"/>
      </c>
      <c r="J46" s="27">
        <f>IF('１月'!J46="","",'１月'!J46)</f>
      </c>
      <c r="K46" s="28">
        <f t="shared" si="3"/>
        <v>0</v>
      </c>
    </row>
    <row r="47" spans="1:8" ht="13.5">
      <c r="A47" s="15"/>
      <c r="B47" s="10"/>
      <c r="C47" s="22" t="s">
        <v>33</v>
      </c>
      <c r="D47" s="11"/>
      <c r="E47" s="12"/>
      <c r="F47" s="13"/>
      <c r="G47" s="13"/>
      <c r="H47" s="14">
        <f t="shared" si="1"/>
      </c>
    </row>
    <row r="48" spans="1:8" ht="13.5">
      <c r="A48" s="15"/>
      <c r="B48" s="10"/>
      <c r="C48" s="22" t="s">
        <v>33</v>
      </c>
      <c r="D48" s="11"/>
      <c r="E48" s="12"/>
      <c r="F48" s="13"/>
      <c r="G48" s="13"/>
      <c r="H48" s="14">
        <f t="shared" si="1"/>
      </c>
    </row>
    <row r="49" spans="1:8" ht="13.5">
      <c r="A49" s="15"/>
      <c r="B49" s="10"/>
      <c r="C49" s="22" t="s">
        <v>33</v>
      </c>
      <c r="D49" s="11"/>
      <c r="E49" s="12"/>
      <c r="F49" s="13"/>
      <c r="G49" s="13"/>
      <c r="H49" s="14">
        <f t="shared" si="1"/>
      </c>
    </row>
    <row r="50" spans="1:8" ht="13.5">
      <c r="A50" s="15"/>
      <c r="B50" s="10"/>
      <c r="C50" s="22" t="s">
        <v>33</v>
      </c>
      <c r="D50" s="11"/>
      <c r="E50" s="12"/>
      <c r="F50" s="13"/>
      <c r="G50" s="13"/>
      <c r="H50" s="14">
        <f t="shared" si="1"/>
      </c>
    </row>
    <row r="51" spans="1:8" ht="13.5">
      <c r="A51" s="15"/>
      <c r="B51" s="10"/>
      <c r="C51" s="22" t="s">
        <v>33</v>
      </c>
      <c r="D51" s="11"/>
      <c r="E51" s="12"/>
      <c r="F51" s="13"/>
      <c r="G51" s="13"/>
      <c r="H51" s="14">
        <f t="shared" si="1"/>
      </c>
    </row>
    <row r="52" spans="1:8" ht="13.5">
      <c r="A52" s="15"/>
      <c r="B52" s="10"/>
      <c r="C52" s="22" t="s">
        <v>33</v>
      </c>
      <c r="D52" s="11"/>
      <c r="E52" s="12"/>
      <c r="F52" s="13"/>
      <c r="G52" s="13"/>
      <c r="H52" s="14">
        <f t="shared" si="1"/>
      </c>
    </row>
    <row r="53" spans="1:8" ht="13.5">
      <c r="A53" s="15"/>
      <c r="B53" s="10"/>
      <c r="C53" s="22" t="s">
        <v>33</v>
      </c>
      <c r="D53" s="11"/>
      <c r="E53" s="12"/>
      <c r="F53" s="13"/>
      <c r="G53" s="13"/>
      <c r="H53" s="14">
        <f t="shared" si="1"/>
      </c>
    </row>
    <row r="54" spans="1:8" ht="13.5">
      <c r="A54" s="15"/>
      <c r="B54" s="10"/>
      <c r="C54" s="22" t="s">
        <v>33</v>
      </c>
      <c r="D54" s="11"/>
      <c r="E54" s="12"/>
      <c r="F54" s="13"/>
      <c r="G54" s="13"/>
      <c r="H54" s="14">
        <f t="shared" si="1"/>
      </c>
    </row>
    <row r="55" spans="1:8" ht="13.5">
      <c r="A55" s="15"/>
      <c r="B55" s="10"/>
      <c r="C55" s="22" t="s">
        <v>33</v>
      </c>
      <c r="D55" s="11"/>
      <c r="E55" s="12"/>
      <c r="F55" s="13"/>
      <c r="G55" s="13"/>
      <c r="H55" s="14">
        <f t="shared" si="1"/>
      </c>
    </row>
    <row r="56" spans="1:8" ht="13.5">
      <c r="A56" s="15"/>
      <c r="B56" s="10"/>
      <c r="C56" s="22" t="s">
        <v>33</v>
      </c>
      <c r="D56" s="11"/>
      <c r="E56" s="12"/>
      <c r="F56" s="13"/>
      <c r="G56" s="13"/>
      <c r="H56" s="14">
        <f t="shared" si="1"/>
      </c>
    </row>
    <row r="57" spans="1:8" ht="13.5">
      <c r="A57" s="15"/>
      <c r="B57" s="10"/>
      <c r="C57" s="22" t="s">
        <v>33</v>
      </c>
      <c r="D57" s="11"/>
      <c r="E57" s="12"/>
      <c r="F57" s="13"/>
      <c r="G57" s="13"/>
      <c r="H57" s="14">
        <f t="shared" si="1"/>
      </c>
    </row>
    <row r="58" spans="1:8" ht="13.5">
      <c r="A58" s="15"/>
      <c r="B58" s="10"/>
      <c r="C58" s="22" t="s">
        <v>33</v>
      </c>
      <c r="D58" s="11"/>
      <c r="E58" s="12"/>
      <c r="F58" s="13"/>
      <c r="G58" s="13"/>
      <c r="H58" s="14">
        <f t="shared" si="1"/>
      </c>
    </row>
    <row r="59" spans="1:8" ht="13.5">
      <c r="A59" s="15"/>
      <c r="B59" s="10"/>
      <c r="C59" s="22" t="s">
        <v>33</v>
      </c>
      <c r="D59" s="11"/>
      <c r="E59" s="12"/>
      <c r="F59" s="13"/>
      <c r="G59" s="13"/>
      <c r="H59" s="14">
        <f t="shared" si="1"/>
      </c>
    </row>
    <row r="60" spans="1:8" ht="13.5">
      <c r="A60" s="15"/>
      <c r="B60" s="10"/>
      <c r="C60" s="22" t="s">
        <v>33</v>
      </c>
      <c r="D60" s="11"/>
      <c r="E60" s="12"/>
      <c r="F60" s="13"/>
      <c r="G60" s="13"/>
      <c r="H60" s="14">
        <f t="shared" si="1"/>
      </c>
    </row>
    <row r="61" spans="1:8" ht="13.5">
      <c r="A61" s="15"/>
      <c r="B61" s="10"/>
      <c r="C61" s="22" t="s">
        <v>33</v>
      </c>
      <c r="D61" s="11"/>
      <c r="E61" s="12"/>
      <c r="F61" s="13"/>
      <c r="G61" s="13"/>
      <c r="H61" s="14">
        <f t="shared" si="1"/>
      </c>
    </row>
    <row r="62" spans="1:8" ht="13.5">
      <c r="A62" s="15"/>
      <c r="B62" s="10"/>
      <c r="C62" s="22" t="s">
        <v>33</v>
      </c>
      <c r="D62" s="11"/>
      <c r="E62" s="12"/>
      <c r="F62" s="13"/>
      <c r="G62" s="13"/>
      <c r="H62" s="14">
        <f t="shared" si="1"/>
      </c>
    </row>
    <row r="63" spans="1:8" ht="13.5">
      <c r="A63" s="15"/>
      <c r="B63" s="10"/>
      <c r="C63" s="22" t="s">
        <v>33</v>
      </c>
      <c r="D63" s="11"/>
      <c r="E63" s="12"/>
      <c r="F63" s="13"/>
      <c r="G63" s="13"/>
      <c r="H63" s="14">
        <f t="shared" si="1"/>
      </c>
    </row>
    <row r="64" spans="1:8" ht="13.5">
      <c r="A64" s="15"/>
      <c r="B64" s="10"/>
      <c r="C64" s="22" t="s">
        <v>33</v>
      </c>
      <c r="D64" s="11"/>
      <c r="E64" s="12"/>
      <c r="F64" s="13"/>
      <c r="G64" s="13"/>
      <c r="H64" s="14">
        <f t="shared" si="1"/>
      </c>
    </row>
    <row r="65" spans="1:8" ht="13.5">
      <c r="A65" s="15"/>
      <c r="B65" s="10"/>
      <c r="C65" s="22" t="s">
        <v>33</v>
      </c>
      <c r="D65" s="11"/>
      <c r="E65" s="12"/>
      <c r="F65" s="13"/>
      <c r="G65" s="13"/>
      <c r="H65" s="14">
        <f t="shared" si="1"/>
      </c>
    </row>
    <row r="66" spans="1:8" ht="13.5">
      <c r="A66" s="15"/>
      <c r="B66" s="10"/>
      <c r="C66" s="22" t="s">
        <v>33</v>
      </c>
      <c r="D66" s="11"/>
      <c r="E66" s="12"/>
      <c r="F66" s="13"/>
      <c r="G66" s="13"/>
      <c r="H66" s="14">
        <f t="shared" si="1"/>
      </c>
    </row>
    <row r="67" spans="1:8" ht="13.5">
      <c r="A67" s="15"/>
      <c r="B67" s="10"/>
      <c r="C67" s="22" t="s">
        <v>33</v>
      </c>
      <c r="D67" s="11"/>
      <c r="E67" s="12"/>
      <c r="F67" s="13"/>
      <c r="G67" s="13"/>
      <c r="H67" s="14">
        <f t="shared" si="1"/>
      </c>
    </row>
    <row r="68" spans="1:8" ht="13.5">
      <c r="A68" s="15"/>
      <c r="B68" s="10"/>
      <c r="C68" s="22" t="s">
        <v>33</v>
      </c>
      <c r="D68" s="11"/>
      <c r="E68" s="12"/>
      <c r="F68" s="13"/>
      <c r="G68" s="13"/>
      <c r="H68" s="14">
        <f t="shared" si="1"/>
      </c>
    </row>
    <row r="69" spans="1:8" ht="13.5">
      <c r="A69" s="15"/>
      <c r="B69" s="10"/>
      <c r="C69" s="22" t="s">
        <v>33</v>
      </c>
      <c r="D69" s="11"/>
      <c r="E69" s="12"/>
      <c r="F69" s="13"/>
      <c r="G69" s="13"/>
      <c r="H69" s="14">
        <f t="shared" si="1"/>
      </c>
    </row>
    <row r="70" spans="1:8" ht="13.5">
      <c r="A70" s="15"/>
      <c r="B70" s="10"/>
      <c r="C70" s="22" t="s">
        <v>33</v>
      </c>
      <c r="D70" s="11"/>
      <c r="E70" s="12"/>
      <c r="F70" s="13"/>
      <c r="G70" s="13"/>
      <c r="H70" s="14">
        <f aca="true" t="shared" si="4" ref="H70:H91">IF(OR(H69="",AND(F70="",G70="")),"",H69+F70-G70)</f>
      </c>
    </row>
    <row r="71" spans="1:8" ht="13.5">
      <c r="A71" s="15"/>
      <c r="B71" s="10"/>
      <c r="C71" s="22" t="s">
        <v>33</v>
      </c>
      <c r="D71" s="11"/>
      <c r="E71" s="12"/>
      <c r="F71" s="13"/>
      <c r="G71" s="13"/>
      <c r="H71" s="14">
        <f t="shared" si="4"/>
      </c>
    </row>
    <row r="72" spans="1:8" ht="13.5">
      <c r="A72" s="15"/>
      <c r="B72" s="10"/>
      <c r="C72" s="22" t="s">
        <v>33</v>
      </c>
      <c r="D72" s="11"/>
      <c r="E72" s="12"/>
      <c r="F72" s="13"/>
      <c r="G72" s="13"/>
      <c r="H72" s="14">
        <f t="shared" si="4"/>
      </c>
    </row>
    <row r="73" spans="1:8" ht="13.5">
      <c r="A73" s="15"/>
      <c r="B73" s="10"/>
      <c r="C73" s="22" t="s">
        <v>33</v>
      </c>
      <c r="D73" s="11"/>
      <c r="E73" s="12"/>
      <c r="F73" s="13"/>
      <c r="G73" s="13"/>
      <c r="H73" s="14">
        <f t="shared" si="4"/>
      </c>
    </row>
    <row r="74" spans="1:8" ht="13.5">
      <c r="A74" s="15"/>
      <c r="B74" s="10"/>
      <c r="C74" s="22" t="s">
        <v>33</v>
      </c>
      <c r="D74" s="11"/>
      <c r="E74" s="12"/>
      <c r="F74" s="13"/>
      <c r="G74" s="13"/>
      <c r="H74" s="14">
        <f t="shared" si="4"/>
      </c>
    </row>
    <row r="75" spans="1:8" ht="13.5">
      <c r="A75" s="15"/>
      <c r="B75" s="10"/>
      <c r="C75" s="22" t="s">
        <v>33</v>
      </c>
      <c r="D75" s="11"/>
      <c r="E75" s="12"/>
      <c r="F75" s="13"/>
      <c r="G75" s="13"/>
      <c r="H75" s="14">
        <f t="shared" si="4"/>
      </c>
    </row>
    <row r="76" spans="1:8" ht="13.5">
      <c r="A76" s="15"/>
      <c r="B76" s="10"/>
      <c r="C76" s="22" t="s">
        <v>33</v>
      </c>
      <c r="D76" s="11"/>
      <c r="E76" s="12"/>
      <c r="F76" s="13"/>
      <c r="G76" s="13"/>
      <c r="H76" s="14">
        <f t="shared" si="4"/>
      </c>
    </row>
    <row r="77" spans="1:8" ht="13.5">
      <c r="A77" s="15"/>
      <c r="B77" s="10"/>
      <c r="C77" s="22" t="s">
        <v>33</v>
      </c>
      <c r="D77" s="11"/>
      <c r="E77" s="12"/>
      <c r="F77" s="13"/>
      <c r="G77" s="13"/>
      <c r="H77" s="14">
        <f t="shared" si="4"/>
      </c>
    </row>
    <row r="78" spans="1:8" ht="13.5">
      <c r="A78" s="15"/>
      <c r="B78" s="10"/>
      <c r="C78" s="22" t="s">
        <v>33</v>
      </c>
      <c r="D78" s="11"/>
      <c r="E78" s="12"/>
      <c r="F78" s="13"/>
      <c r="G78" s="13"/>
      <c r="H78" s="14">
        <f t="shared" si="4"/>
      </c>
    </row>
    <row r="79" spans="1:8" ht="13.5">
      <c r="A79" s="15"/>
      <c r="B79" s="10"/>
      <c r="C79" s="22" t="s">
        <v>33</v>
      </c>
      <c r="D79" s="11"/>
      <c r="E79" s="12"/>
      <c r="F79" s="13"/>
      <c r="G79" s="13"/>
      <c r="H79" s="14">
        <f t="shared" si="4"/>
      </c>
    </row>
    <row r="80" spans="1:8" ht="13.5">
      <c r="A80" s="15"/>
      <c r="B80" s="10"/>
      <c r="C80" s="22" t="s">
        <v>33</v>
      </c>
      <c r="D80" s="11"/>
      <c r="E80" s="12"/>
      <c r="F80" s="13"/>
      <c r="G80" s="13"/>
      <c r="H80" s="14">
        <f t="shared" si="4"/>
      </c>
    </row>
    <row r="81" spans="1:8" ht="13.5">
      <c r="A81" s="15"/>
      <c r="B81" s="10"/>
      <c r="C81" s="22" t="s">
        <v>33</v>
      </c>
      <c r="D81" s="11"/>
      <c r="E81" s="12"/>
      <c r="F81" s="13"/>
      <c r="G81" s="13"/>
      <c r="H81" s="14">
        <f t="shared" si="4"/>
      </c>
    </row>
    <row r="82" spans="1:8" ht="13.5">
      <c r="A82" s="15"/>
      <c r="B82" s="10"/>
      <c r="C82" s="22" t="s">
        <v>33</v>
      </c>
      <c r="D82" s="11"/>
      <c r="E82" s="12"/>
      <c r="F82" s="13"/>
      <c r="G82" s="13"/>
      <c r="H82" s="14">
        <f t="shared" si="4"/>
      </c>
    </row>
    <row r="83" spans="1:8" ht="13.5">
      <c r="A83" s="15"/>
      <c r="B83" s="10"/>
      <c r="C83" s="22" t="s">
        <v>33</v>
      </c>
      <c r="D83" s="11"/>
      <c r="E83" s="12"/>
      <c r="F83" s="13"/>
      <c r="G83" s="13"/>
      <c r="H83" s="14">
        <f t="shared" si="4"/>
      </c>
    </row>
    <row r="84" spans="1:8" ht="13.5">
      <c r="A84" s="15"/>
      <c r="B84" s="10"/>
      <c r="C84" s="22" t="s">
        <v>33</v>
      </c>
      <c r="D84" s="11"/>
      <c r="E84" s="12"/>
      <c r="F84" s="13"/>
      <c r="G84" s="13"/>
      <c r="H84" s="14">
        <f t="shared" si="4"/>
      </c>
    </row>
    <row r="85" spans="1:8" ht="13.5">
      <c r="A85" s="15"/>
      <c r="B85" s="10"/>
      <c r="C85" s="22" t="s">
        <v>33</v>
      </c>
      <c r="D85" s="11"/>
      <c r="E85" s="12"/>
      <c r="F85" s="13"/>
      <c r="G85" s="13"/>
      <c r="H85" s="14">
        <f t="shared" si="4"/>
      </c>
    </row>
    <row r="86" spans="1:8" ht="13.5">
      <c r="A86" s="15"/>
      <c r="B86" s="10"/>
      <c r="C86" s="22" t="s">
        <v>33</v>
      </c>
      <c r="D86" s="11"/>
      <c r="E86" s="12"/>
      <c r="F86" s="13"/>
      <c r="G86" s="13"/>
      <c r="H86" s="14">
        <f t="shared" si="4"/>
      </c>
    </row>
    <row r="87" spans="1:8" ht="13.5">
      <c r="A87" s="15"/>
      <c r="B87" s="10"/>
      <c r="C87" s="22" t="s">
        <v>33</v>
      </c>
      <c r="D87" s="11"/>
      <c r="E87" s="12"/>
      <c r="F87" s="13"/>
      <c r="G87" s="13"/>
      <c r="H87" s="14">
        <f t="shared" si="4"/>
      </c>
    </row>
    <row r="88" spans="1:8" ht="13.5">
      <c r="A88" s="15"/>
      <c r="B88" s="10"/>
      <c r="C88" s="22" t="s">
        <v>33</v>
      </c>
      <c r="D88" s="11"/>
      <c r="E88" s="12"/>
      <c r="F88" s="13"/>
      <c r="G88" s="13"/>
      <c r="H88" s="14">
        <f t="shared" si="4"/>
      </c>
    </row>
    <row r="89" spans="1:8" ht="13.5">
      <c r="A89" s="15"/>
      <c r="B89" s="10"/>
      <c r="C89" s="22" t="s">
        <v>33</v>
      </c>
      <c r="D89" s="11"/>
      <c r="E89" s="12"/>
      <c r="F89" s="13"/>
      <c r="G89" s="13"/>
      <c r="H89" s="14">
        <f t="shared" si="4"/>
      </c>
    </row>
    <row r="90" spans="1:8" ht="13.5">
      <c r="A90" s="15"/>
      <c r="B90" s="10"/>
      <c r="C90" s="22" t="s">
        <v>33</v>
      </c>
      <c r="D90" s="11"/>
      <c r="E90" s="12"/>
      <c r="F90" s="13"/>
      <c r="G90" s="13"/>
      <c r="H90" s="14">
        <f t="shared" si="4"/>
      </c>
    </row>
    <row r="91" spans="1:8" ht="14.25" thickBot="1">
      <c r="A91" s="15"/>
      <c r="B91" s="10"/>
      <c r="C91" s="22" t="s">
        <v>33</v>
      </c>
      <c r="D91" s="11"/>
      <c r="E91" s="12"/>
      <c r="F91" s="13"/>
      <c r="G91" s="13"/>
      <c r="H91" s="14">
        <f t="shared" si="4"/>
      </c>
    </row>
    <row r="92" spans="1:8" ht="14.25" thickBot="1">
      <c r="A92" s="15"/>
      <c r="B92" s="17"/>
      <c r="C92" s="18"/>
      <c r="D92" s="18"/>
      <c r="E92" s="19" t="s">
        <v>8</v>
      </c>
      <c r="F92" s="20"/>
      <c r="G92" s="20"/>
      <c r="H92" s="21">
        <f>IF(AND(SUM(F5:F91)=0,SUM(G5:G91)=0),"",SUM(F5:F91)-SUM(G5:G91)+H4)</f>
      </c>
    </row>
  </sheetData>
  <sheetProtection/>
  <mergeCells count="1">
    <mergeCell ref="B1:C1"/>
  </mergeCells>
  <dataValidations count="2">
    <dataValidation type="list" allowBlank="1" showInputMessage="1" showErrorMessage="1" sqref="C5:C91">
      <formula1>$J$3:$J$32</formula1>
    </dataValidation>
    <dataValidation type="list" allowBlank="1" showInputMessage="1" showErrorMessage="1" sqref="D5:D91">
      <formula1>$J$37:$J$46</formula1>
    </dataValidation>
  </dataValidations>
  <printOptions/>
  <pageMargins left="0.75" right="0.75" top="1" bottom="1" header="0.512" footer="0.512"/>
  <pageSetup orientation="portrait" paperSize="9"/>
  <ignoredErrors>
    <ignoredError sqref="K5" formula="1"/>
  </ignoredErrors>
  <legacyDrawing r:id="rId2"/>
</worksheet>
</file>

<file path=xl/worksheets/sheet11.xml><?xml version="1.0" encoding="utf-8"?>
<worksheet xmlns="http://schemas.openxmlformats.org/spreadsheetml/2006/main" xmlns:r="http://schemas.openxmlformats.org/officeDocument/2006/relationships">
  <dimension ref="A1:Q92"/>
  <sheetViews>
    <sheetView zoomScalePageLayoutView="0" workbookViewId="0" topLeftCell="A1">
      <selection activeCell="J24" sqref="J24"/>
    </sheetView>
  </sheetViews>
  <sheetFormatPr defaultColWidth="9.00390625" defaultRowHeight="13.5"/>
  <cols>
    <col min="3" max="3" width="10.875" style="0" customWidth="1"/>
    <col min="4" max="4" width="18.125" style="0" customWidth="1"/>
    <col min="5" max="5" width="22.25390625" style="0" customWidth="1"/>
    <col min="6" max="7" width="11.875" style="0" customWidth="1"/>
    <col min="8" max="8" width="13.125" style="0" customWidth="1"/>
    <col min="10" max="10" width="12.75390625" style="0" bestFit="1" customWidth="1"/>
    <col min="14" max="14" width="5.25390625" style="0" bestFit="1" customWidth="1"/>
  </cols>
  <sheetData>
    <row r="1" spans="1:11" ht="23.25">
      <c r="A1" s="1"/>
      <c r="B1" s="38" t="s">
        <v>9</v>
      </c>
      <c r="C1" s="39"/>
      <c r="D1" s="2"/>
      <c r="E1" s="2"/>
      <c r="F1" s="2"/>
      <c r="G1" s="2"/>
      <c r="H1" s="2"/>
      <c r="K1" s="3"/>
    </row>
    <row r="2" spans="1:11" ht="15" thickBot="1">
      <c r="A2" s="1"/>
      <c r="B2" s="1"/>
      <c r="C2" s="1"/>
      <c r="D2" s="1"/>
      <c r="E2" s="1"/>
      <c r="F2" s="1"/>
      <c r="G2" s="1"/>
      <c r="H2" s="4" t="s">
        <v>52</v>
      </c>
      <c r="K2" s="3"/>
    </row>
    <row r="3" spans="1:17" ht="15" thickBot="1">
      <c r="A3" s="1"/>
      <c r="B3" s="5" t="s">
        <v>1</v>
      </c>
      <c r="C3" s="6" t="s">
        <v>2</v>
      </c>
      <c r="D3" s="7" t="s">
        <v>3</v>
      </c>
      <c r="E3" s="8" t="s">
        <v>4</v>
      </c>
      <c r="F3" s="6" t="s">
        <v>5</v>
      </c>
      <c r="G3" s="6" t="s">
        <v>6</v>
      </c>
      <c r="H3" s="9" t="s">
        <v>7</v>
      </c>
      <c r="J3" s="27" t="str">
        <f>IF('１月'!J3="","",'１月'!J3)</f>
        <v>売上</v>
      </c>
      <c r="K3" s="28">
        <f>SUMIF($C$5:$C$91,J3,$F$5:$F$91)</f>
        <v>0</v>
      </c>
      <c r="M3" s="29" t="s">
        <v>36</v>
      </c>
      <c r="N3" s="29" t="s">
        <v>37</v>
      </c>
      <c r="O3" s="30" t="s">
        <v>38</v>
      </c>
      <c r="P3" s="30" t="s">
        <v>39</v>
      </c>
      <c r="Q3" s="27"/>
    </row>
    <row r="4" spans="1:17" ht="14.25">
      <c r="A4" s="1"/>
      <c r="B4" s="10"/>
      <c r="C4" s="22" t="s">
        <v>33</v>
      </c>
      <c r="D4" s="11"/>
      <c r="E4" s="12" t="s">
        <v>35</v>
      </c>
      <c r="F4" s="13"/>
      <c r="G4" s="13"/>
      <c r="H4" s="14">
        <f>'１０月'!H92</f>
      </c>
      <c r="J4" s="27" t="str">
        <f>IF('１月'!J4="","",'１月'!J4)</f>
        <v>仕入</v>
      </c>
      <c r="K4" s="28">
        <f>SUMIF($C$5:$C$91,J4,$G$5:$G$91)</f>
        <v>0</v>
      </c>
      <c r="M4" s="31">
        <v>40848</v>
      </c>
      <c r="N4" s="42" t="s">
        <v>87</v>
      </c>
      <c r="O4" s="28">
        <f>SUMIF($B$5:$B$91,"11月1日",$F$5:$F$91)</f>
        <v>0</v>
      </c>
      <c r="P4" s="28">
        <f>SUMIF($B$5:$B$91,"11月1日",$G$5:$G$91)</f>
        <v>0</v>
      </c>
      <c r="Q4" s="32">
        <f>O4-P4</f>
        <v>0</v>
      </c>
    </row>
    <row r="5" spans="1:17" ht="14.25">
      <c r="A5" s="1"/>
      <c r="B5" s="10"/>
      <c r="C5" s="22" t="s">
        <v>33</v>
      </c>
      <c r="D5" s="11"/>
      <c r="E5" s="12"/>
      <c r="F5" s="13"/>
      <c r="G5" s="13"/>
      <c r="H5" s="14">
        <f>IF(OR(H4="",AND(F5="",G5="")),"",H4+F5-G5)</f>
      </c>
      <c r="J5" s="27" t="str">
        <f>IF('１月'!J5="","",'１月'!J5)</f>
        <v>製造原価</v>
      </c>
      <c r="K5" s="28">
        <f>K3-K4</f>
        <v>0</v>
      </c>
      <c r="M5" s="31">
        <v>40849</v>
      </c>
      <c r="N5" s="42" t="s">
        <v>69</v>
      </c>
      <c r="O5" s="28">
        <f>SUMIF($B$5:$B$91,"11月2日",$F$5:$F$91)</f>
        <v>0</v>
      </c>
      <c r="P5" s="28">
        <f>SUMIF($B$5:$B$91,"11月2日",$G$5:$G$91)</f>
        <v>0</v>
      </c>
      <c r="Q5" s="32">
        <f aca="true" t="shared" si="0" ref="Q5:Q34">O5-P5</f>
        <v>0</v>
      </c>
    </row>
    <row r="6" spans="1:17" ht="14.25">
      <c r="A6" s="1"/>
      <c r="B6" s="10"/>
      <c r="C6" s="22" t="s">
        <v>33</v>
      </c>
      <c r="D6" s="11"/>
      <c r="E6" s="12"/>
      <c r="F6" s="13"/>
      <c r="G6" s="13"/>
      <c r="H6" s="14">
        <f aca="true" t="shared" si="1" ref="H6:H69">IF(OR(H5="",AND(F6="",G6="")),"",H5+F6-G6)</f>
      </c>
      <c r="J6" s="27" t="str">
        <f>IF('１月'!J6="","",'１月'!J6)</f>
        <v>租税公課</v>
      </c>
      <c r="K6" s="28">
        <f>SUMIF($C$5:$C$91,J6,$G$5:$G$91)</f>
        <v>0</v>
      </c>
      <c r="M6" s="31">
        <v>40850</v>
      </c>
      <c r="N6" s="42" t="s">
        <v>70</v>
      </c>
      <c r="O6" s="28">
        <f>SUMIF($B$5:$B$91,"11月3日",$F$5:$F$91)</f>
        <v>0</v>
      </c>
      <c r="P6" s="28">
        <f>SUMIF($B$5:$B$91,"11月3日",$G$5:$G$91)</f>
        <v>0</v>
      </c>
      <c r="Q6" s="32">
        <f t="shared" si="0"/>
        <v>0</v>
      </c>
    </row>
    <row r="7" spans="1:17" ht="14.25">
      <c r="A7" s="1"/>
      <c r="B7" s="10"/>
      <c r="C7" s="22" t="s">
        <v>33</v>
      </c>
      <c r="D7" s="11"/>
      <c r="E7" s="12"/>
      <c r="F7" s="13"/>
      <c r="G7" s="13"/>
      <c r="H7" s="14">
        <f t="shared" si="1"/>
      </c>
      <c r="J7" s="27" t="str">
        <f>IF('１月'!J7="","",'１月'!J7)</f>
        <v>荷造運賃</v>
      </c>
      <c r="K7" s="28">
        <f aca="true" t="shared" si="2" ref="K7:K28">SUMIF($C$5:$C$91,J7,$G$5:$G$91)</f>
        <v>0</v>
      </c>
      <c r="M7" s="31">
        <v>40851</v>
      </c>
      <c r="N7" s="42" t="s">
        <v>71</v>
      </c>
      <c r="O7" s="28">
        <f>SUMIF($B$5:$B$91,"11月4日",$F$5:$F$91)</f>
        <v>0</v>
      </c>
      <c r="P7" s="28">
        <f>SUMIF($B$5:$B$91,"11月4日",$G$5:$G$91)</f>
        <v>0</v>
      </c>
      <c r="Q7" s="32">
        <f t="shared" si="0"/>
        <v>0</v>
      </c>
    </row>
    <row r="8" spans="1:17" ht="14.25">
      <c r="A8" s="1"/>
      <c r="B8" s="10"/>
      <c r="C8" s="22" t="s">
        <v>33</v>
      </c>
      <c r="D8" s="11"/>
      <c r="E8" s="12"/>
      <c r="F8" s="13"/>
      <c r="G8" s="13"/>
      <c r="H8" s="14">
        <f t="shared" si="1"/>
      </c>
      <c r="J8" s="27" t="str">
        <f>IF('１月'!J8="","",'１月'!J8)</f>
        <v>水道光熱費</v>
      </c>
      <c r="K8" s="28">
        <f t="shared" si="2"/>
        <v>0</v>
      </c>
      <c r="M8" s="31">
        <v>40852</v>
      </c>
      <c r="N8" s="42" t="s">
        <v>72</v>
      </c>
      <c r="O8" s="28">
        <f>SUMIF($B$5:$B$91,"11月5日",$F$5:$F$91)</f>
        <v>0</v>
      </c>
      <c r="P8" s="28">
        <f>SUMIF($B$5:$B$91,"11月5日",$G$5:$G$91)</f>
        <v>0</v>
      </c>
      <c r="Q8" s="32">
        <f t="shared" si="0"/>
        <v>0</v>
      </c>
    </row>
    <row r="9" spans="1:17" ht="14.25">
      <c r="A9" s="1"/>
      <c r="B9" s="10"/>
      <c r="C9" s="22" t="s">
        <v>33</v>
      </c>
      <c r="D9" s="11"/>
      <c r="E9" s="12"/>
      <c r="F9" s="13"/>
      <c r="G9" s="13"/>
      <c r="H9" s="14">
        <f t="shared" si="1"/>
      </c>
      <c r="J9" s="27" t="str">
        <f>IF('１月'!J9="","",'１月'!J9)</f>
        <v>旅費交通費</v>
      </c>
      <c r="K9" s="28">
        <f t="shared" si="2"/>
        <v>0</v>
      </c>
      <c r="M9" s="31">
        <v>40853</v>
      </c>
      <c r="N9" s="42" t="s">
        <v>66</v>
      </c>
      <c r="O9" s="28">
        <f>SUMIF($B$5:$B$91,"11月6日",$F$5:$F$91)</f>
        <v>0</v>
      </c>
      <c r="P9" s="28">
        <f>SUMIF($B$5:$B$91,"11月6日",$G$5:$G$91)</f>
        <v>0</v>
      </c>
      <c r="Q9" s="32">
        <f t="shared" si="0"/>
        <v>0</v>
      </c>
    </row>
    <row r="10" spans="1:17" ht="14.25">
      <c r="A10" s="15"/>
      <c r="B10" s="10"/>
      <c r="C10" s="22" t="s">
        <v>33</v>
      </c>
      <c r="D10" s="11"/>
      <c r="E10" s="12"/>
      <c r="F10" s="13"/>
      <c r="G10" s="13"/>
      <c r="H10" s="14">
        <f t="shared" si="1"/>
      </c>
      <c r="J10" s="27" t="str">
        <f>IF('１月'!J10="","",'１月'!J10)</f>
        <v>通信費</v>
      </c>
      <c r="K10" s="28">
        <f t="shared" si="2"/>
        <v>0</v>
      </c>
      <c r="M10" s="31">
        <v>40854</v>
      </c>
      <c r="N10" s="42" t="s">
        <v>67</v>
      </c>
      <c r="O10" s="28">
        <f>SUMIF($B$5:$B$91,"11月7日",$F$5:$F$91)</f>
        <v>0</v>
      </c>
      <c r="P10" s="28">
        <f>SUMIF($B$5:$B$91,"11月7日",$G$5:$G$91)</f>
        <v>0</v>
      </c>
      <c r="Q10" s="32">
        <f t="shared" si="0"/>
        <v>0</v>
      </c>
    </row>
    <row r="11" spans="1:17" ht="14.25">
      <c r="A11" s="15"/>
      <c r="B11" s="10"/>
      <c r="C11" s="22" t="s">
        <v>33</v>
      </c>
      <c r="D11" s="11"/>
      <c r="E11" s="12"/>
      <c r="F11" s="13"/>
      <c r="G11" s="13"/>
      <c r="H11" s="14">
        <f t="shared" si="1"/>
      </c>
      <c r="J11" s="27" t="str">
        <f>IF('１月'!J11="","",'１月'!J11)</f>
        <v>広告宣伝費</v>
      </c>
      <c r="K11" s="28">
        <f t="shared" si="2"/>
        <v>0</v>
      </c>
      <c r="M11" s="31">
        <v>40855</v>
      </c>
      <c r="N11" s="42" t="s">
        <v>68</v>
      </c>
      <c r="O11" s="28">
        <f>SUMIF($B$5:$B$91,"11月8日",$F$5:$F$91)</f>
        <v>0</v>
      </c>
      <c r="P11" s="28">
        <f>SUMIF($B$5:$B$91,"11月8日",$G$5:$G$91)</f>
        <v>0</v>
      </c>
      <c r="Q11" s="32">
        <f t="shared" si="0"/>
        <v>0</v>
      </c>
    </row>
    <row r="12" spans="1:17" ht="14.25">
      <c r="A12" s="15"/>
      <c r="B12" s="10"/>
      <c r="C12" s="22" t="s">
        <v>33</v>
      </c>
      <c r="D12" s="11"/>
      <c r="E12" s="12"/>
      <c r="F12" s="13"/>
      <c r="G12" s="13"/>
      <c r="H12" s="14">
        <f t="shared" si="1"/>
      </c>
      <c r="J12" s="27" t="str">
        <f>IF('１月'!J12="","",'１月'!J12)</f>
        <v>接待交際費</v>
      </c>
      <c r="K12" s="28">
        <f t="shared" si="2"/>
        <v>0</v>
      </c>
      <c r="M12" s="31">
        <v>40856</v>
      </c>
      <c r="N12" s="42" t="s">
        <v>69</v>
      </c>
      <c r="O12" s="28">
        <f>SUMIF($B$5:$B$91,"11月9日",$F$5:$F$91)</f>
        <v>0</v>
      </c>
      <c r="P12" s="28">
        <f>SUMIF($B$5:$B$91,"11月9日",$G$5:$G$91)</f>
        <v>0</v>
      </c>
      <c r="Q12" s="32">
        <f t="shared" si="0"/>
        <v>0</v>
      </c>
    </row>
    <row r="13" spans="1:17" ht="14.25">
      <c r="A13" s="15"/>
      <c r="B13" s="10"/>
      <c r="C13" s="22" t="s">
        <v>33</v>
      </c>
      <c r="D13" s="11"/>
      <c r="E13" s="12"/>
      <c r="F13" s="13"/>
      <c r="G13" s="13"/>
      <c r="H13" s="14">
        <f t="shared" si="1"/>
      </c>
      <c r="J13" s="27" t="str">
        <f>IF('１月'!J13="","",'１月'!J13)</f>
        <v>損害保険料</v>
      </c>
      <c r="K13" s="28">
        <f t="shared" si="2"/>
        <v>0</v>
      </c>
      <c r="M13" s="31">
        <v>40857</v>
      </c>
      <c r="N13" s="42" t="s">
        <v>70</v>
      </c>
      <c r="O13" s="28">
        <f>SUMIF($B$5:$B$91,"11月10日",$F$5:$F$91)</f>
        <v>0</v>
      </c>
      <c r="P13" s="28">
        <f>SUMIF($B$5:$B$91,"11月10日",$G$5:$G$91)</f>
        <v>0</v>
      </c>
      <c r="Q13" s="32">
        <f t="shared" si="0"/>
        <v>0</v>
      </c>
    </row>
    <row r="14" spans="1:17" ht="14.25">
      <c r="A14" s="15"/>
      <c r="B14" s="10"/>
      <c r="C14" s="22" t="s">
        <v>33</v>
      </c>
      <c r="D14" s="11"/>
      <c r="E14" s="12"/>
      <c r="F14" s="13"/>
      <c r="G14" s="13"/>
      <c r="H14" s="14">
        <f t="shared" si="1"/>
      </c>
      <c r="J14" s="27" t="str">
        <f>IF('１月'!J14="","",'１月'!J14)</f>
        <v>修繕費</v>
      </c>
      <c r="K14" s="28">
        <f t="shared" si="2"/>
        <v>0</v>
      </c>
      <c r="M14" s="31">
        <v>40858</v>
      </c>
      <c r="N14" s="42" t="s">
        <v>71</v>
      </c>
      <c r="O14" s="28">
        <f>SUMIF($B$5:$B$91,"11月11日",$F$5:$F$91)</f>
        <v>0</v>
      </c>
      <c r="P14" s="28">
        <f>SUMIF($B$5:$B$91,"11月11日",$G$5:$G$91)</f>
        <v>0</v>
      </c>
      <c r="Q14" s="32">
        <f t="shared" si="0"/>
        <v>0</v>
      </c>
    </row>
    <row r="15" spans="1:17" ht="14.25">
      <c r="A15" s="15"/>
      <c r="B15" s="10"/>
      <c r="C15" s="22" t="s">
        <v>33</v>
      </c>
      <c r="D15" s="11"/>
      <c r="E15" s="16"/>
      <c r="F15" s="13"/>
      <c r="G15" s="13"/>
      <c r="H15" s="14">
        <f t="shared" si="1"/>
      </c>
      <c r="J15" s="27" t="str">
        <f>IF('１月'!J15="","",'１月'!J15)</f>
        <v>消耗品費</v>
      </c>
      <c r="K15" s="28">
        <f t="shared" si="2"/>
        <v>0</v>
      </c>
      <c r="M15" s="31">
        <v>40859</v>
      </c>
      <c r="N15" s="42" t="s">
        <v>72</v>
      </c>
      <c r="O15" s="28">
        <f>SUMIF($B$5:$B$91,"11月12日",$F$5:$F$91)</f>
        <v>0</v>
      </c>
      <c r="P15" s="28">
        <f>SUMIF($B$5:$B$91,"11月12日",$G$5:$G$91)</f>
        <v>0</v>
      </c>
      <c r="Q15" s="32">
        <f t="shared" si="0"/>
        <v>0</v>
      </c>
    </row>
    <row r="16" spans="1:17" ht="14.25">
      <c r="A16" s="15"/>
      <c r="B16" s="10"/>
      <c r="C16" s="22" t="s">
        <v>33</v>
      </c>
      <c r="D16" s="11"/>
      <c r="E16" s="12"/>
      <c r="F16" s="13"/>
      <c r="G16" s="13"/>
      <c r="H16" s="14">
        <f t="shared" si="1"/>
      </c>
      <c r="J16" s="27" t="str">
        <f>IF('１月'!J16="","",'１月'!J16)</f>
        <v>福利厚生費</v>
      </c>
      <c r="K16" s="28">
        <f t="shared" si="2"/>
        <v>0</v>
      </c>
      <c r="M16" s="31">
        <v>40860</v>
      </c>
      <c r="N16" s="42" t="s">
        <v>66</v>
      </c>
      <c r="O16" s="28">
        <f>SUMIF($B$5:$B$91,"11月13日",$F$5:$F$91)</f>
        <v>0</v>
      </c>
      <c r="P16" s="28">
        <f>SUMIF($B$5:$B$91,"11月13日",$G$5:$G$91)</f>
        <v>0</v>
      </c>
      <c r="Q16" s="32">
        <f t="shared" si="0"/>
        <v>0</v>
      </c>
    </row>
    <row r="17" spans="1:17" ht="14.25">
      <c r="A17" s="15"/>
      <c r="B17" s="10"/>
      <c r="C17" s="22" t="s">
        <v>33</v>
      </c>
      <c r="D17" s="11"/>
      <c r="E17" s="12"/>
      <c r="F17" s="13"/>
      <c r="G17" s="13"/>
      <c r="H17" s="14">
        <f t="shared" si="1"/>
      </c>
      <c r="J17" s="27" t="str">
        <f>IF('１月'!J17="","",'１月'!J17)</f>
        <v>給与賃金</v>
      </c>
      <c r="K17" s="28">
        <f t="shared" si="2"/>
        <v>0</v>
      </c>
      <c r="M17" s="31">
        <v>40861</v>
      </c>
      <c r="N17" s="42" t="s">
        <v>67</v>
      </c>
      <c r="O17" s="28">
        <f>SUMIF($B$5:$B$91,"11月14日",$F$5:$F$91)</f>
        <v>0</v>
      </c>
      <c r="P17" s="28">
        <f>SUMIF($B$5:$B$91,"11月14日",$G$5:$G$91)</f>
        <v>0</v>
      </c>
      <c r="Q17" s="32">
        <f t="shared" si="0"/>
        <v>0</v>
      </c>
    </row>
    <row r="18" spans="1:17" ht="14.25">
      <c r="A18" s="15"/>
      <c r="B18" s="10"/>
      <c r="C18" s="22" t="s">
        <v>33</v>
      </c>
      <c r="D18" s="11"/>
      <c r="E18" s="12"/>
      <c r="F18" s="13"/>
      <c r="G18" s="13"/>
      <c r="H18" s="14">
        <f t="shared" si="1"/>
      </c>
      <c r="J18" s="27" t="str">
        <f>IF('１月'!J18="","",'１月'!J18)</f>
        <v>利子割引料</v>
      </c>
      <c r="K18" s="28">
        <f t="shared" si="2"/>
        <v>0</v>
      </c>
      <c r="M18" s="31">
        <v>40862</v>
      </c>
      <c r="N18" s="42" t="s">
        <v>68</v>
      </c>
      <c r="O18" s="28">
        <f>SUMIF($B$5:$B$91,"11月15日",$F$5:$F$91)</f>
        <v>0</v>
      </c>
      <c r="P18" s="28">
        <f>SUMIF($B$5:$B$91,"11月15日",$G$5:$G$91)</f>
        <v>0</v>
      </c>
      <c r="Q18" s="32">
        <f t="shared" si="0"/>
        <v>0</v>
      </c>
    </row>
    <row r="19" spans="1:17" ht="14.25">
      <c r="A19" s="15"/>
      <c r="B19" s="10"/>
      <c r="C19" s="22" t="s">
        <v>33</v>
      </c>
      <c r="D19" s="11"/>
      <c r="E19" s="12"/>
      <c r="F19" s="13"/>
      <c r="G19" s="13"/>
      <c r="H19" s="14">
        <f t="shared" si="1"/>
      </c>
      <c r="J19" s="27" t="str">
        <f>IF('１月'!J19="","",'１月'!J19)</f>
        <v>地代家賃</v>
      </c>
      <c r="K19" s="28">
        <f t="shared" si="2"/>
        <v>0</v>
      </c>
      <c r="M19" s="31">
        <v>40863</v>
      </c>
      <c r="N19" s="42" t="s">
        <v>69</v>
      </c>
      <c r="O19" s="28">
        <f>SUMIF($B$5:$B$91,"11月16日",$F$5:$F$91)</f>
        <v>0</v>
      </c>
      <c r="P19" s="28">
        <f>SUMIF($B$5:$B$91,"11月16日",$G$5:$G$91)</f>
        <v>0</v>
      </c>
      <c r="Q19" s="32">
        <f t="shared" si="0"/>
        <v>0</v>
      </c>
    </row>
    <row r="20" spans="1:17" ht="14.25">
      <c r="A20" s="15"/>
      <c r="B20" s="10"/>
      <c r="C20" s="22" t="s">
        <v>33</v>
      </c>
      <c r="D20" s="11"/>
      <c r="E20" s="12"/>
      <c r="F20" s="13"/>
      <c r="G20" s="13"/>
      <c r="H20" s="14">
        <f t="shared" si="1"/>
      </c>
      <c r="J20" s="27" t="str">
        <f>IF('１月'!J20="","",'１月'!J20)</f>
        <v>貸倒金</v>
      </c>
      <c r="K20" s="28">
        <f t="shared" si="2"/>
        <v>0</v>
      </c>
      <c r="M20" s="31">
        <v>40864</v>
      </c>
      <c r="N20" s="42" t="s">
        <v>70</v>
      </c>
      <c r="O20" s="28">
        <f>SUMIF($B$5:$B$91,"11月17日",$F$5:$F$91)</f>
        <v>0</v>
      </c>
      <c r="P20" s="28">
        <f>SUMIF($B$5:$B$91,"11月17日",$G$5:$G$91)</f>
        <v>0</v>
      </c>
      <c r="Q20" s="32">
        <f t="shared" si="0"/>
        <v>0</v>
      </c>
    </row>
    <row r="21" spans="1:17" ht="14.25">
      <c r="A21" s="15"/>
      <c r="B21" s="10"/>
      <c r="C21" s="22" t="s">
        <v>33</v>
      </c>
      <c r="D21" s="11"/>
      <c r="E21" s="16"/>
      <c r="F21" s="13"/>
      <c r="G21" s="13"/>
      <c r="H21" s="14">
        <f t="shared" si="1"/>
      </c>
      <c r="J21" s="27" t="str">
        <f>IF('１月'!J21="","",'１月'!J21)</f>
        <v>専従者給与</v>
      </c>
      <c r="K21" s="28">
        <f t="shared" si="2"/>
        <v>0</v>
      </c>
      <c r="M21" s="31">
        <v>40865</v>
      </c>
      <c r="N21" s="42" t="s">
        <v>71</v>
      </c>
      <c r="O21" s="28">
        <f>SUMIF($B$5:$B$91,"11月18日",$F$5:$F$91)</f>
        <v>0</v>
      </c>
      <c r="P21" s="28">
        <f>SUMIF($B$5:$B$91,"11月18日",$G$5:$G$91)</f>
        <v>0</v>
      </c>
      <c r="Q21" s="32">
        <f t="shared" si="0"/>
        <v>0</v>
      </c>
    </row>
    <row r="22" spans="1:17" ht="14.25">
      <c r="A22" s="15"/>
      <c r="B22" s="10"/>
      <c r="C22" s="22" t="s">
        <v>33</v>
      </c>
      <c r="D22" s="11"/>
      <c r="E22" s="12"/>
      <c r="F22" s="13"/>
      <c r="G22" s="13"/>
      <c r="H22" s="14">
        <f t="shared" si="1"/>
      </c>
      <c r="J22" s="27" t="str">
        <f>IF('１月'!J22="","",'１月'!J22)</f>
        <v>リース料</v>
      </c>
      <c r="K22" s="28">
        <f t="shared" si="2"/>
        <v>0</v>
      </c>
      <c r="M22" s="31">
        <v>40866</v>
      </c>
      <c r="N22" s="42" t="s">
        <v>72</v>
      </c>
      <c r="O22" s="28">
        <f>SUMIF($B$5:$B$91,"11月19日",$F$5:$F$91)</f>
        <v>0</v>
      </c>
      <c r="P22" s="28">
        <f>SUMIF($B$5:$B$91,"11月19日",$G$5:$G$91)</f>
        <v>0</v>
      </c>
      <c r="Q22" s="32">
        <f t="shared" si="0"/>
        <v>0</v>
      </c>
    </row>
    <row r="23" spans="1:17" ht="14.25">
      <c r="A23" s="15"/>
      <c r="B23" s="10"/>
      <c r="C23" s="22" t="s">
        <v>33</v>
      </c>
      <c r="D23" s="11"/>
      <c r="E23" s="12"/>
      <c r="F23" s="13"/>
      <c r="G23" s="13"/>
      <c r="H23" s="14">
        <f t="shared" si="1"/>
      </c>
      <c r="J23" s="27" t="str">
        <f>IF('１月'!J23="","",'１月'!J23)</f>
        <v>外注費</v>
      </c>
      <c r="K23" s="28">
        <f t="shared" si="2"/>
        <v>0</v>
      </c>
      <c r="M23" s="31">
        <v>40867</v>
      </c>
      <c r="N23" s="42" t="s">
        <v>66</v>
      </c>
      <c r="O23" s="28">
        <f>SUMIF($B$5:$B$91,"11月20日",$F$5:$F$91)</f>
        <v>0</v>
      </c>
      <c r="P23" s="28">
        <f>SUMIF($B$5:$B$91,"11月20日",$G$5:$G$91)</f>
        <v>0</v>
      </c>
      <c r="Q23" s="32">
        <f t="shared" si="0"/>
        <v>0</v>
      </c>
    </row>
    <row r="24" spans="1:17" ht="14.25">
      <c r="A24" s="15"/>
      <c r="B24" s="10"/>
      <c r="C24" s="22" t="s">
        <v>33</v>
      </c>
      <c r="D24" s="11"/>
      <c r="E24" s="12"/>
      <c r="F24" s="13"/>
      <c r="G24" s="13"/>
      <c r="H24" s="14">
        <f t="shared" si="1"/>
      </c>
      <c r="J24" s="27">
        <f>IF('１月'!J24="","",'１月'!J24)</f>
      </c>
      <c r="K24" s="28">
        <f t="shared" si="2"/>
        <v>0</v>
      </c>
      <c r="M24" s="31">
        <v>40868</v>
      </c>
      <c r="N24" s="42" t="s">
        <v>67</v>
      </c>
      <c r="O24" s="28">
        <f>SUMIF($B$5:$B$91,"11月21日",$F$5:$F$91)</f>
        <v>0</v>
      </c>
      <c r="P24" s="28">
        <f>SUMIF($B$5:$B$91,"11月21日",$G$5:$G$91)</f>
        <v>0</v>
      </c>
      <c r="Q24" s="32">
        <f t="shared" si="0"/>
        <v>0</v>
      </c>
    </row>
    <row r="25" spans="1:17" ht="14.25">
      <c r="A25" s="15"/>
      <c r="B25" s="10"/>
      <c r="C25" s="22" t="s">
        <v>33</v>
      </c>
      <c r="D25" s="11"/>
      <c r="E25" s="12"/>
      <c r="F25" s="13"/>
      <c r="G25" s="13"/>
      <c r="H25" s="14">
        <f t="shared" si="1"/>
      </c>
      <c r="J25" s="27" t="str">
        <f>IF('１月'!J25="","",'１月'!J25)</f>
        <v>　</v>
      </c>
      <c r="K25" s="28">
        <f t="shared" si="2"/>
        <v>0</v>
      </c>
      <c r="M25" s="31">
        <v>40869</v>
      </c>
      <c r="N25" s="42" t="s">
        <v>68</v>
      </c>
      <c r="O25" s="28">
        <f>SUMIF($B$5:$B$91,"11月22日",$F$5:$F$91)</f>
        <v>0</v>
      </c>
      <c r="P25" s="28">
        <f>SUMIF($B$5:$B$91,"11月22日",$G$5:$G$91)</f>
        <v>0</v>
      </c>
      <c r="Q25" s="32">
        <f t="shared" si="0"/>
        <v>0</v>
      </c>
    </row>
    <row r="26" spans="1:17" ht="14.25">
      <c r="A26" s="15"/>
      <c r="B26" s="10"/>
      <c r="C26" s="22" t="s">
        <v>33</v>
      </c>
      <c r="D26" s="11"/>
      <c r="E26" s="12"/>
      <c r="F26" s="13"/>
      <c r="G26" s="13"/>
      <c r="H26" s="14">
        <f t="shared" si="1"/>
      </c>
      <c r="J26" s="27">
        <f>IF('１月'!J26="","",'１月'!J26)</f>
      </c>
      <c r="K26" s="28">
        <f t="shared" si="2"/>
        <v>0</v>
      </c>
      <c r="M26" s="31">
        <v>40870</v>
      </c>
      <c r="N26" s="42" t="s">
        <v>69</v>
      </c>
      <c r="O26" s="28">
        <f>SUMIF($B$5:$B$91,"11月23日",$F$5:$F$91)</f>
        <v>0</v>
      </c>
      <c r="P26" s="28">
        <f>SUMIF($B$5:$B$91,"11月23日",$G$5:$G$91)</f>
        <v>0</v>
      </c>
      <c r="Q26" s="32">
        <f t="shared" si="0"/>
        <v>0</v>
      </c>
    </row>
    <row r="27" spans="1:17" ht="14.25">
      <c r="A27" s="15"/>
      <c r="B27" s="10"/>
      <c r="C27" s="22" t="s">
        <v>33</v>
      </c>
      <c r="D27" s="11"/>
      <c r="E27" s="12"/>
      <c r="F27" s="13"/>
      <c r="G27" s="13"/>
      <c r="H27" s="14">
        <f t="shared" si="1"/>
      </c>
      <c r="J27" s="27">
        <f>IF('１月'!J27="","",'１月'!J27)</f>
      </c>
      <c r="K27" s="28">
        <f t="shared" si="2"/>
        <v>0</v>
      </c>
      <c r="M27" s="31">
        <v>40871</v>
      </c>
      <c r="N27" s="42" t="s">
        <v>70</v>
      </c>
      <c r="O27" s="28">
        <f>SUMIF($B$5:$B$91,"11月24日",$F$5:$F$91)</f>
        <v>0</v>
      </c>
      <c r="P27" s="28">
        <f>SUMIF($B$5:$B$91,"11月24日",$G$5:$G$91)</f>
        <v>0</v>
      </c>
      <c r="Q27" s="32">
        <f t="shared" si="0"/>
        <v>0</v>
      </c>
    </row>
    <row r="28" spans="1:17" ht="14.25">
      <c r="A28" s="15"/>
      <c r="B28" s="10"/>
      <c r="C28" s="22" t="s">
        <v>33</v>
      </c>
      <c r="D28" s="11"/>
      <c r="E28" s="12"/>
      <c r="F28" s="13"/>
      <c r="G28" s="13"/>
      <c r="H28" s="14">
        <f t="shared" si="1"/>
      </c>
      <c r="J28" s="27" t="str">
        <f>IF('１月'!J28="","",'１月'!J28)</f>
        <v>雑費</v>
      </c>
      <c r="K28" s="28">
        <f t="shared" si="2"/>
        <v>0</v>
      </c>
      <c r="M28" s="31">
        <v>40872</v>
      </c>
      <c r="N28" s="42" t="s">
        <v>71</v>
      </c>
      <c r="O28" s="28">
        <f>SUMIF($B$5:$B$91,"11月25日",$F$5:$F$91)</f>
        <v>0</v>
      </c>
      <c r="P28" s="28">
        <f>SUMIF($B$5:$B$91,"11月25日",$G$5:$G$91)</f>
        <v>0</v>
      </c>
      <c r="Q28" s="32">
        <f t="shared" si="0"/>
        <v>0</v>
      </c>
    </row>
    <row r="29" spans="1:17" ht="14.25">
      <c r="A29" s="15"/>
      <c r="B29" s="10"/>
      <c r="C29" s="22" t="s">
        <v>33</v>
      </c>
      <c r="D29" s="11"/>
      <c r="E29" s="12"/>
      <c r="F29" s="13"/>
      <c r="G29" s="13"/>
      <c r="H29" s="14">
        <f t="shared" si="1"/>
      </c>
      <c r="J29" s="27" t="str">
        <f>IF('１月'!J29="","",'１月'!J29)</f>
        <v>経費合計</v>
      </c>
      <c r="K29" s="28">
        <f>SUM(K6:K28)</f>
        <v>0</v>
      </c>
      <c r="M29" s="31">
        <v>40873</v>
      </c>
      <c r="N29" s="42" t="s">
        <v>72</v>
      </c>
      <c r="O29" s="28">
        <f>SUMIF($B$5:$B$91,"11月26日",$F$5:$F$91)</f>
        <v>0</v>
      </c>
      <c r="P29" s="28">
        <f>SUMIF($B$5:$B$91,"11月26日",$G$5:$G$91)</f>
        <v>0</v>
      </c>
      <c r="Q29" s="32">
        <f t="shared" si="0"/>
        <v>0</v>
      </c>
    </row>
    <row r="30" spans="1:17" ht="14.25">
      <c r="A30" s="15"/>
      <c r="B30" s="10"/>
      <c r="C30" s="22" t="s">
        <v>33</v>
      </c>
      <c r="D30" s="11"/>
      <c r="E30" s="12"/>
      <c r="F30" s="13"/>
      <c r="G30" s="13"/>
      <c r="H30" s="14">
        <f t="shared" si="1"/>
      </c>
      <c r="J30" s="27" t="str">
        <f>IF('１月'!J30="","",'１月'!J30)</f>
        <v>利益</v>
      </c>
      <c r="K30" s="28">
        <f>K5-K29</f>
        <v>0</v>
      </c>
      <c r="M30" s="31">
        <v>40874</v>
      </c>
      <c r="N30" s="42" t="s">
        <v>66</v>
      </c>
      <c r="O30" s="28">
        <f>SUMIF($B$5:$B$91,"11月27日",$F$5:$F$91)</f>
        <v>0</v>
      </c>
      <c r="P30" s="28">
        <f>SUMIF($B$5:$B$91,"11月27日",$G$5:$G$91)</f>
        <v>0</v>
      </c>
      <c r="Q30" s="32">
        <f t="shared" si="0"/>
        <v>0</v>
      </c>
    </row>
    <row r="31" spans="1:17" ht="13.5">
      <c r="A31" s="15"/>
      <c r="B31" s="10"/>
      <c r="C31" s="22" t="s">
        <v>33</v>
      </c>
      <c r="D31" s="11"/>
      <c r="E31" s="12"/>
      <c r="F31" s="13"/>
      <c r="G31" s="13"/>
      <c r="H31" s="14">
        <f t="shared" si="1"/>
      </c>
      <c r="J31" s="27" t="str">
        <f>IF('１月'!J31="","",'１月'!J31)</f>
        <v>入金</v>
      </c>
      <c r="K31" s="28">
        <f>SUMIF($C$5:$C$91,J31,$F$5:$F$91)</f>
        <v>0</v>
      </c>
      <c r="M31" s="31">
        <v>40875</v>
      </c>
      <c r="N31" s="42" t="s">
        <v>67</v>
      </c>
      <c r="O31" s="28">
        <f>SUMIF($B$5:$B$91,"11月28日",$F$5:$F$91)</f>
        <v>0</v>
      </c>
      <c r="P31" s="28">
        <f>SUMIF($B$5:$B$91,"11月28日",$G$5:$G$91)</f>
        <v>0</v>
      </c>
      <c r="Q31" s="32">
        <f t="shared" si="0"/>
        <v>0</v>
      </c>
    </row>
    <row r="32" spans="1:17" ht="13.5">
      <c r="A32" s="15"/>
      <c r="B32" s="10"/>
      <c r="C32" s="22" t="s">
        <v>33</v>
      </c>
      <c r="D32" s="11"/>
      <c r="E32" s="12"/>
      <c r="F32" s="13"/>
      <c r="G32" s="13"/>
      <c r="H32" s="14">
        <f t="shared" si="1"/>
      </c>
      <c r="J32" s="27" t="str">
        <f>IF('１月'!J32="","",'１月'!J32)</f>
        <v>その他支払い</v>
      </c>
      <c r="K32" s="28">
        <f>SUMIF($C$5:$C$91,J32,$G$5:$G$91)</f>
        <v>0</v>
      </c>
      <c r="M32" s="31">
        <v>40876</v>
      </c>
      <c r="N32" s="42" t="s">
        <v>68</v>
      </c>
      <c r="O32" s="28">
        <f>SUMIF($B$5:$B$91,"11月29日",$F$5:$F$91)</f>
        <v>0</v>
      </c>
      <c r="P32" s="28">
        <f>SUMIF($B$5:$B$91,"11月29日",$G$5:$G$91)</f>
        <v>0</v>
      </c>
      <c r="Q32" s="32">
        <f t="shared" si="0"/>
        <v>0</v>
      </c>
    </row>
    <row r="33" spans="1:17" ht="13.5">
      <c r="A33" s="15"/>
      <c r="B33" s="10"/>
      <c r="C33" s="22" t="s">
        <v>33</v>
      </c>
      <c r="D33" s="11"/>
      <c r="E33" s="12"/>
      <c r="F33" s="13"/>
      <c r="G33" s="13"/>
      <c r="H33" s="14">
        <f t="shared" si="1"/>
      </c>
      <c r="K33" s="3"/>
      <c r="M33" s="31">
        <v>40877</v>
      </c>
      <c r="N33" s="42" t="s">
        <v>69</v>
      </c>
      <c r="O33" s="28">
        <f>SUMIF($B$5:$B$91,"11月30日",$F$5:$F$91)</f>
        <v>0</v>
      </c>
      <c r="P33" s="28">
        <f>SUMIF($B$5:$B$91,"11月30日",$G$5:$G$91)</f>
        <v>0</v>
      </c>
      <c r="Q33" s="32">
        <f t="shared" si="0"/>
        <v>0</v>
      </c>
    </row>
    <row r="34" spans="1:17" ht="13.5">
      <c r="A34" s="15"/>
      <c r="B34" s="10"/>
      <c r="C34" s="22" t="s">
        <v>33</v>
      </c>
      <c r="D34" s="11"/>
      <c r="E34" s="12"/>
      <c r="F34" s="13"/>
      <c r="G34" s="13"/>
      <c r="H34" s="14">
        <f t="shared" si="1"/>
      </c>
      <c r="K34" s="3"/>
      <c r="M34" s="27"/>
      <c r="N34" s="27"/>
      <c r="O34" s="32">
        <f>SUM(O4:O33)</f>
        <v>0</v>
      </c>
      <c r="P34" s="32">
        <f>SUM(P4:P33)</f>
        <v>0</v>
      </c>
      <c r="Q34" s="32">
        <f t="shared" si="0"/>
        <v>0</v>
      </c>
    </row>
    <row r="35" spans="1:11" ht="13.5">
      <c r="A35" s="15"/>
      <c r="B35" s="10"/>
      <c r="C35" s="22" t="s">
        <v>33</v>
      </c>
      <c r="D35" s="11"/>
      <c r="E35" s="12"/>
      <c r="F35" s="13"/>
      <c r="G35" s="13"/>
      <c r="H35" s="14">
        <f t="shared" si="1"/>
      </c>
      <c r="K35" s="3"/>
    </row>
    <row r="36" spans="1:8" ht="13.5">
      <c r="A36" s="15"/>
      <c r="B36" s="10"/>
      <c r="C36" s="22" t="s">
        <v>33</v>
      </c>
      <c r="D36" s="11"/>
      <c r="E36" s="12"/>
      <c r="F36" s="13"/>
      <c r="G36" s="13"/>
      <c r="H36" s="14">
        <f t="shared" si="1"/>
      </c>
    </row>
    <row r="37" spans="1:11" ht="13.5">
      <c r="A37" s="15"/>
      <c r="B37" s="10"/>
      <c r="C37" s="22" t="s">
        <v>33</v>
      </c>
      <c r="D37" s="11"/>
      <c r="E37" s="12"/>
      <c r="F37" s="13"/>
      <c r="G37" s="13"/>
      <c r="H37" s="14">
        <f t="shared" si="1"/>
      </c>
      <c r="J37" s="27">
        <f>IF('１月'!J37="","",'１月'!J37)</f>
      </c>
      <c r="K37" s="28">
        <f aca="true" t="shared" si="3" ref="K37:K46">SUMIF($D$5:$D$91,J37,$G$5:$G$91)</f>
        <v>0</v>
      </c>
    </row>
    <row r="38" spans="1:11" ht="13.5">
      <c r="A38" s="15"/>
      <c r="B38" s="10"/>
      <c r="C38" s="22" t="s">
        <v>33</v>
      </c>
      <c r="D38" s="11"/>
      <c r="E38" s="12"/>
      <c r="F38" s="13"/>
      <c r="G38" s="13"/>
      <c r="H38" s="14">
        <f t="shared" si="1"/>
      </c>
      <c r="J38" s="27">
        <f>IF('１月'!J38="","",'１月'!J38)</f>
      </c>
      <c r="K38" s="28">
        <f t="shared" si="3"/>
        <v>0</v>
      </c>
    </row>
    <row r="39" spans="1:11" ht="13.5">
      <c r="A39" s="15"/>
      <c r="B39" s="10"/>
      <c r="C39" s="22" t="s">
        <v>33</v>
      </c>
      <c r="D39" s="11"/>
      <c r="E39" s="12"/>
      <c r="F39" s="13"/>
      <c r="G39" s="13"/>
      <c r="H39" s="14">
        <f t="shared" si="1"/>
      </c>
      <c r="J39" s="27">
        <f>IF('１月'!J39="","",'１月'!J39)</f>
      </c>
      <c r="K39" s="28">
        <f t="shared" si="3"/>
        <v>0</v>
      </c>
    </row>
    <row r="40" spans="1:11" ht="13.5">
      <c r="A40" s="15"/>
      <c r="B40" s="10"/>
      <c r="C40" s="22" t="s">
        <v>33</v>
      </c>
      <c r="D40" s="11"/>
      <c r="E40" s="12"/>
      <c r="F40" s="13"/>
      <c r="G40" s="13"/>
      <c r="H40" s="14">
        <f t="shared" si="1"/>
      </c>
      <c r="J40" s="27">
        <f>IF('１月'!J40="","",'１月'!J40)</f>
      </c>
      <c r="K40" s="28">
        <f t="shared" si="3"/>
        <v>0</v>
      </c>
    </row>
    <row r="41" spans="1:11" ht="13.5">
      <c r="A41" s="15"/>
      <c r="B41" s="10"/>
      <c r="C41" s="22" t="s">
        <v>33</v>
      </c>
      <c r="D41" s="11"/>
      <c r="E41" s="12"/>
      <c r="F41" s="13"/>
      <c r="G41" s="13"/>
      <c r="H41" s="14">
        <f t="shared" si="1"/>
      </c>
      <c r="J41" s="27">
        <f>IF('１月'!J41="","",'１月'!J41)</f>
      </c>
      <c r="K41" s="28">
        <f t="shared" si="3"/>
        <v>0</v>
      </c>
    </row>
    <row r="42" spans="1:11" ht="13.5">
      <c r="A42" s="15"/>
      <c r="B42" s="10"/>
      <c r="C42" s="22" t="s">
        <v>33</v>
      </c>
      <c r="D42" s="11"/>
      <c r="E42" s="12"/>
      <c r="F42" s="13"/>
      <c r="G42" s="13"/>
      <c r="H42" s="14">
        <f t="shared" si="1"/>
      </c>
      <c r="J42" s="27">
        <f>IF('１月'!J42="","",'１月'!J42)</f>
      </c>
      <c r="K42" s="28">
        <f t="shared" si="3"/>
        <v>0</v>
      </c>
    </row>
    <row r="43" spans="1:11" ht="13.5">
      <c r="A43" s="15"/>
      <c r="B43" s="10"/>
      <c r="C43" s="22" t="s">
        <v>33</v>
      </c>
      <c r="D43" s="11"/>
      <c r="E43" s="12"/>
      <c r="F43" s="13"/>
      <c r="G43" s="13"/>
      <c r="H43" s="14">
        <f t="shared" si="1"/>
      </c>
      <c r="J43" s="27">
        <f>IF('１月'!J43="","",'１月'!J43)</f>
      </c>
      <c r="K43" s="28">
        <f t="shared" si="3"/>
        <v>0</v>
      </c>
    </row>
    <row r="44" spans="1:11" ht="13.5">
      <c r="A44" s="15"/>
      <c r="B44" s="10"/>
      <c r="C44" s="22" t="s">
        <v>33</v>
      </c>
      <c r="D44" s="11"/>
      <c r="E44" s="12"/>
      <c r="F44" s="13"/>
      <c r="G44" s="13"/>
      <c r="H44" s="14">
        <f t="shared" si="1"/>
      </c>
      <c r="J44" s="27">
        <f>IF('１月'!J44="","",'１月'!J44)</f>
      </c>
      <c r="K44" s="28">
        <f t="shared" si="3"/>
        <v>0</v>
      </c>
    </row>
    <row r="45" spans="1:11" ht="13.5">
      <c r="A45" s="15"/>
      <c r="B45" s="10"/>
      <c r="C45" s="22" t="s">
        <v>33</v>
      </c>
      <c r="D45" s="11"/>
      <c r="E45" s="12"/>
      <c r="F45" s="13"/>
      <c r="G45" s="13"/>
      <c r="H45" s="14">
        <f t="shared" si="1"/>
      </c>
      <c r="J45" s="27">
        <f>IF('１月'!J45="","",'１月'!J45)</f>
      </c>
      <c r="K45" s="28">
        <f t="shared" si="3"/>
        <v>0</v>
      </c>
    </row>
    <row r="46" spans="1:11" ht="13.5">
      <c r="A46" s="15"/>
      <c r="B46" s="10"/>
      <c r="C46" s="22" t="s">
        <v>33</v>
      </c>
      <c r="D46" s="11"/>
      <c r="E46" s="12"/>
      <c r="F46" s="13"/>
      <c r="G46" s="13"/>
      <c r="H46" s="14">
        <f t="shared" si="1"/>
      </c>
      <c r="J46" s="27">
        <f>IF('１月'!J46="","",'１月'!J46)</f>
      </c>
      <c r="K46" s="28">
        <f t="shared" si="3"/>
        <v>0</v>
      </c>
    </row>
    <row r="47" spans="1:8" ht="13.5">
      <c r="A47" s="15"/>
      <c r="B47" s="10"/>
      <c r="C47" s="22" t="s">
        <v>33</v>
      </c>
      <c r="D47" s="11"/>
      <c r="E47" s="12"/>
      <c r="F47" s="13"/>
      <c r="G47" s="13"/>
      <c r="H47" s="14">
        <f t="shared" si="1"/>
      </c>
    </row>
    <row r="48" spans="1:8" ht="13.5">
      <c r="A48" s="15"/>
      <c r="B48" s="10"/>
      <c r="C48" s="22" t="s">
        <v>33</v>
      </c>
      <c r="D48" s="11"/>
      <c r="E48" s="12"/>
      <c r="F48" s="13"/>
      <c r="G48" s="13"/>
      <c r="H48" s="14">
        <f t="shared" si="1"/>
      </c>
    </row>
    <row r="49" spans="1:8" ht="13.5">
      <c r="A49" s="15"/>
      <c r="B49" s="10"/>
      <c r="C49" s="22" t="s">
        <v>33</v>
      </c>
      <c r="D49" s="11"/>
      <c r="E49" s="12"/>
      <c r="F49" s="13"/>
      <c r="G49" s="13"/>
      <c r="H49" s="14">
        <f t="shared" si="1"/>
      </c>
    </row>
    <row r="50" spans="1:8" ht="13.5">
      <c r="A50" s="15"/>
      <c r="B50" s="10"/>
      <c r="C50" s="22" t="s">
        <v>33</v>
      </c>
      <c r="D50" s="11"/>
      <c r="E50" s="12"/>
      <c r="F50" s="13"/>
      <c r="G50" s="13"/>
      <c r="H50" s="14">
        <f t="shared" si="1"/>
      </c>
    </row>
    <row r="51" spans="1:8" ht="13.5">
      <c r="A51" s="15"/>
      <c r="B51" s="10"/>
      <c r="C51" s="22" t="s">
        <v>33</v>
      </c>
      <c r="D51" s="11"/>
      <c r="E51" s="12"/>
      <c r="F51" s="13"/>
      <c r="G51" s="13"/>
      <c r="H51" s="14">
        <f t="shared" si="1"/>
      </c>
    </row>
    <row r="52" spans="1:8" ht="13.5">
      <c r="A52" s="15"/>
      <c r="B52" s="10"/>
      <c r="C52" s="22" t="s">
        <v>33</v>
      </c>
      <c r="D52" s="11"/>
      <c r="E52" s="12"/>
      <c r="F52" s="13"/>
      <c r="G52" s="13"/>
      <c r="H52" s="14">
        <f t="shared" si="1"/>
      </c>
    </row>
    <row r="53" spans="1:8" ht="13.5">
      <c r="A53" s="15"/>
      <c r="B53" s="10"/>
      <c r="C53" s="22" t="s">
        <v>33</v>
      </c>
      <c r="D53" s="11"/>
      <c r="E53" s="12"/>
      <c r="F53" s="13"/>
      <c r="G53" s="13"/>
      <c r="H53" s="14">
        <f t="shared" si="1"/>
      </c>
    </row>
    <row r="54" spans="1:8" ht="13.5">
      <c r="A54" s="15"/>
      <c r="B54" s="10"/>
      <c r="C54" s="22" t="s">
        <v>33</v>
      </c>
      <c r="D54" s="11"/>
      <c r="E54" s="12"/>
      <c r="F54" s="13"/>
      <c r="G54" s="13"/>
      <c r="H54" s="14">
        <f t="shared" si="1"/>
      </c>
    </row>
    <row r="55" spans="1:8" ht="13.5">
      <c r="A55" s="15"/>
      <c r="B55" s="10"/>
      <c r="C55" s="22" t="s">
        <v>33</v>
      </c>
      <c r="D55" s="11"/>
      <c r="E55" s="12"/>
      <c r="F55" s="13"/>
      <c r="G55" s="13"/>
      <c r="H55" s="14">
        <f t="shared" si="1"/>
      </c>
    </row>
    <row r="56" spans="1:8" ht="13.5">
      <c r="A56" s="15"/>
      <c r="B56" s="10"/>
      <c r="C56" s="22" t="s">
        <v>33</v>
      </c>
      <c r="D56" s="11"/>
      <c r="E56" s="12"/>
      <c r="F56" s="13"/>
      <c r="G56" s="13"/>
      <c r="H56" s="14">
        <f t="shared" si="1"/>
      </c>
    </row>
    <row r="57" spans="1:8" ht="13.5">
      <c r="A57" s="15"/>
      <c r="B57" s="10"/>
      <c r="C57" s="22" t="s">
        <v>33</v>
      </c>
      <c r="D57" s="11"/>
      <c r="E57" s="12"/>
      <c r="F57" s="13"/>
      <c r="G57" s="13"/>
      <c r="H57" s="14">
        <f t="shared" si="1"/>
      </c>
    </row>
    <row r="58" spans="1:8" ht="13.5">
      <c r="A58" s="15"/>
      <c r="B58" s="10"/>
      <c r="C58" s="22" t="s">
        <v>33</v>
      </c>
      <c r="D58" s="11"/>
      <c r="E58" s="12"/>
      <c r="F58" s="13"/>
      <c r="G58" s="13"/>
      <c r="H58" s="14">
        <f t="shared" si="1"/>
      </c>
    </row>
    <row r="59" spans="1:8" ht="13.5">
      <c r="A59" s="15"/>
      <c r="B59" s="10"/>
      <c r="C59" s="22" t="s">
        <v>33</v>
      </c>
      <c r="D59" s="11"/>
      <c r="E59" s="12"/>
      <c r="F59" s="13"/>
      <c r="G59" s="13"/>
      <c r="H59" s="14">
        <f t="shared" si="1"/>
      </c>
    </row>
    <row r="60" spans="1:8" ht="13.5">
      <c r="A60" s="15"/>
      <c r="B60" s="10"/>
      <c r="C60" s="22" t="s">
        <v>33</v>
      </c>
      <c r="D60" s="11"/>
      <c r="E60" s="12"/>
      <c r="F60" s="13"/>
      <c r="G60" s="13"/>
      <c r="H60" s="14">
        <f t="shared" si="1"/>
      </c>
    </row>
    <row r="61" spans="1:8" ht="13.5">
      <c r="A61" s="15"/>
      <c r="B61" s="10"/>
      <c r="C61" s="22" t="s">
        <v>33</v>
      </c>
      <c r="D61" s="11"/>
      <c r="E61" s="12"/>
      <c r="F61" s="13"/>
      <c r="G61" s="13"/>
      <c r="H61" s="14">
        <f t="shared" si="1"/>
      </c>
    </row>
    <row r="62" spans="1:8" ht="13.5">
      <c r="A62" s="15"/>
      <c r="B62" s="10"/>
      <c r="C62" s="22" t="s">
        <v>33</v>
      </c>
      <c r="D62" s="11"/>
      <c r="E62" s="12"/>
      <c r="F62" s="13"/>
      <c r="G62" s="13"/>
      <c r="H62" s="14">
        <f t="shared" si="1"/>
      </c>
    </row>
    <row r="63" spans="1:8" ht="13.5">
      <c r="A63" s="15"/>
      <c r="B63" s="10"/>
      <c r="C63" s="22" t="s">
        <v>33</v>
      </c>
      <c r="D63" s="11"/>
      <c r="E63" s="12"/>
      <c r="F63" s="13"/>
      <c r="G63" s="13"/>
      <c r="H63" s="14">
        <f t="shared" si="1"/>
      </c>
    </row>
    <row r="64" spans="1:8" ht="13.5">
      <c r="A64" s="15"/>
      <c r="B64" s="10"/>
      <c r="C64" s="22" t="s">
        <v>33</v>
      </c>
      <c r="D64" s="11"/>
      <c r="E64" s="12"/>
      <c r="F64" s="13"/>
      <c r="G64" s="13"/>
      <c r="H64" s="14">
        <f t="shared" si="1"/>
      </c>
    </row>
    <row r="65" spans="1:8" ht="13.5">
      <c r="A65" s="15"/>
      <c r="B65" s="10"/>
      <c r="C65" s="22" t="s">
        <v>33</v>
      </c>
      <c r="D65" s="11"/>
      <c r="E65" s="12"/>
      <c r="F65" s="13"/>
      <c r="G65" s="13"/>
      <c r="H65" s="14">
        <f t="shared" si="1"/>
      </c>
    </row>
    <row r="66" spans="1:8" ht="13.5">
      <c r="A66" s="15"/>
      <c r="B66" s="10"/>
      <c r="C66" s="22" t="s">
        <v>33</v>
      </c>
      <c r="D66" s="11"/>
      <c r="E66" s="12"/>
      <c r="F66" s="13"/>
      <c r="G66" s="13"/>
      <c r="H66" s="14">
        <f t="shared" si="1"/>
      </c>
    </row>
    <row r="67" spans="1:8" ht="13.5">
      <c r="A67" s="15"/>
      <c r="B67" s="10"/>
      <c r="C67" s="22" t="s">
        <v>33</v>
      </c>
      <c r="D67" s="11"/>
      <c r="E67" s="12"/>
      <c r="F67" s="13"/>
      <c r="G67" s="13"/>
      <c r="H67" s="14">
        <f t="shared" si="1"/>
      </c>
    </row>
    <row r="68" spans="1:8" ht="13.5">
      <c r="A68" s="15"/>
      <c r="B68" s="10"/>
      <c r="C68" s="22" t="s">
        <v>33</v>
      </c>
      <c r="D68" s="11"/>
      <c r="E68" s="12"/>
      <c r="F68" s="13"/>
      <c r="G68" s="13"/>
      <c r="H68" s="14">
        <f t="shared" si="1"/>
      </c>
    </row>
    <row r="69" spans="1:8" ht="13.5">
      <c r="A69" s="15"/>
      <c r="B69" s="10"/>
      <c r="C69" s="22" t="s">
        <v>33</v>
      </c>
      <c r="D69" s="11"/>
      <c r="E69" s="12"/>
      <c r="F69" s="13"/>
      <c r="G69" s="13"/>
      <c r="H69" s="14">
        <f t="shared" si="1"/>
      </c>
    </row>
    <row r="70" spans="1:8" ht="13.5">
      <c r="A70" s="15"/>
      <c r="B70" s="10"/>
      <c r="C70" s="22" t="s">
        <v>33</v>
      </c>
      <c r="D70" s="11"/>
      <c r="E70" s="12"/>
      <c r="F70" s="13"/>
      <c r="G70" s="13"/>
      <c r="H70" s="14">
        <f aca="true" t="shared" si="4" ref="H70:H91">IF(OR(H69="",AND(F70="",G70="")),"",H69+F70-G70)</f>
      </c>
    </row>
    <row r="71" spans="1:8" ht="13.5">
      <c r="A71" s="15"/>
      <c r="B71" s="10"/>
      <c r="C71" s="22" t="s">
        <v>33</v>
      </c>
      <c r="D71" s="11"/>
      <c r="E71" s="12"/>
      <c r="F71" s="13"/>
      <c r="G71" s="13"/>
      <c r="H71" s="14">
        <f t="shared" si="4"/>
      </c>
    </row>
    <row r="72" spans="1:8" ht="13.5">
      <c r="A72" s="15"/>
      <c r="B72" s="10"/>
      <c r="C72" s="22" t="s">
        <v>33</v>
      </c>
      <c r="D72" s="11"/>
      <c r="E72" s="12"/>
      <c r="F72" s="13"/>
      <c r="G72" s="13"/>
      <c r="H72" s="14">
        <f t="shared" si="4"/>
      </c>
    </row>
    <row r="73" spans="1:8" ht="13.5">
      <c r="A73" s="15"/>
      <c r="B73" s="10"/>
      <c r="C73" s="22" t="s">
        <v>33</v>
      </c>
      <c r="D73" s="11"/>
      <c r="E73" s="12"/>
      <c r="F73" s="13"/>
      <c r="G73" s="13"/>
      <c r="H73" s="14">
        <f t="shared" si="4"/>
      </c>
    </row>
    <row r="74" spans="1:8" ht="13.5">
      <c r="A74" s="15"/>
      <c r="B74" s="10"/>
      <c r="C74" s="22" t="s">
        <v>33</v>
      </c>
      <c r="D74" s="11"/>
      <c r="E74" s="12"/>
      <c r="F74" s="13"/>
      <c r="G74" s="13"/>
      <c r="H74" s="14">
        <f t="shared" si="4"/>
      </c>
    </row>
    <row r="75" spans="1:8" ht="13.5">
      <c r="A75" s="15"/>
      <c r="B75" s="10"/>
      <c r="C75" s="22" t="s">
        <v>33</v>
      </c>
      <c r="D75" s="11"/>
      <c r="E75" s="12"/>
      <c r="F75" s="13"/>
      <c r="G75" s="13"/>
      <c r="H75" s="14">
        <f t="shared" si="4"/>
      </c>
    </row>
    <row r="76" spans="1:8" ht="13.5">
      <c r="A76" s="15"/>
      <c r="B76" s="10"/>
      <c r="C76" s="22" t="s">
        <v>33</v>
      </c>
      <c r="D76" s="11"/>
      <c r="E76" s="12"/>
      <c r="F76" s="13"/>
      <c r="G76" s="13"/>
      <c r="H76" s="14">
        <f t="shared" si="4"/>
      </c>
    </row>
    <row r="77" spans="1:8" ht="13.5">
      <c r="A77" s="15"/>
      <c r="B77" s="10"/>
      <c r="C77" s="22" t="s">
        <v>33</v>
      </c>
      <c r="D77" s="11"/>
      <c r="E77" s="12"/>
      <c r="F77" s="13"/>
      <c r="G77" s="13"/>
      <c r="H77" s="14">
        <f t="shared" si="4"/>
      </c>
    </row>
    <row r="78" spans="1:8" ht="13.5">
      <c r="A78" s="15"/>
      <c r="B78" s="10"/>
      <c r="C78" s="22" t="s">
        <v>33</v>
      </c>
      <c r="D78" s="11"/>
      <c r="E78" s="12"/>
      <c r="F78" s="13"/>
      <c r="G78" s="13"/>
      <c r="H78" s="14">
        <f t="shared" si="4"/>
      </c>
    </row>
    <row r="79" spans="1:8" ht="13.5">
      <c r="A79" s="15"/>
      <c r="B79" s="10"/>
      <c r="C79" s="22" t="s">
        <v>33</v>
      </c>
      <c r="D79" s="11"/>
      <c r="E79" s="12"/>
      <c r="F79" s="13"/>
      <c r="G79" s="13"/>
      <c r="H79" s="14">
        <f t="shared" si="4"/>
      </c>
    </row>
    <row r="80" spans="1:8" ht="13.5">
      <c r="A80" s="15"/>
      <c r="B80" s="10"/>
      <c r="C80" s="22" t="s">
        <v>33</v>
      </c>
      <c r="D80" s="11"/>
      <c r="E80" s="12"/>
      <c r="F80" s="13"/>
      <c r="G80" s="13"/>
      <c r="H80" s="14">
        <f t="shared" si="4"/>
      </c>
    </row>
    <row r="81" spans="1:8" ht="13.5">
      <c r="A81" s="15"/>
      <c r="B81" s="10"/>
      <c r="C81" s="22" t="s">
        <v>33</v>
      </c>
      <c r="D81" s="11"/>
      <c r="E81" s="12"/>
      <c r="F81" s="13"/>
      <c r="G81" s="13"/>
      <c r="H81" s="14">
        <f t="shared" si="4"/>
      </c>
    </row>
    <row r="82" spans="1:8" ht="13.5">
      <c r="A82" s="15"/>
      <c r="B82" s="10"/>
      <c r="C82" s="22" t="s">
        <v>33</v>
      </c>
      <c r="D82" s="11"/>
      <c r="E82" s="12"/>
      <c r="F82" s="13"/>
      <c r="G82" s="13"/>
      <c r="H82" s="14">
        <f t="shared" si="4"/>
      </c>
    </row>
    <row r="83" spans="1:8" ht="13.5">
      <c r="A83" s="15"/>
      <c r="B83" s="10"/>
      <c r="C83" s="22" t="s">
        <v>33</v>
      </c>
      <c r="D83" s="11"/>
      <c r="E83" s="12"/>
      <c r="F83" s="13"/>
      <c r="G83" s="13"/>
      <c r="H83" s="14">
        <f t="shared" si="4"/>
      </c>
    </row>
    <row r="84" spans="1:8" ht="13.5">
      <c r="A84" s="15"/>
      <c r="B84" s="10"/>
      <c r="C84" s="22" t="s">
        <v>33</v>
      </c>
      <c r="D84" s="11"/>
      <c r="E84" s="12"/>
      <c r="F84" s="13"/>
      <c r="G84" s="13"/>
      <c r="H84" s="14">
        <f t="shared" si="4"/>
      </c>
    </row>
    <row r="85" spans="1:8" ht="13.5">
      <c r="A85" s="15"/>
      <c r="B85" s="10"/>
      <c r="C85" s="22" t="s">
        <v>33</v>
      </c>
      <c r="D85" s="11"/>
      <c r="E85" s="12"/>
      <c r="F85" s="13"/>
      <c r="G85" s="13"/>
      <c r="H85" s="14">
        <f t="shared" si="4"/>
      </c>
    </row>
    <row r="86" spans="1:8" ht="13.5">
      <c r="A86" s="15"/>
      <c r="B86" s="10"/>
      <c r="C86" s="22" t="s">
        <v>33</v>
      </c>
      <c r="D86" s="11"/>
      <c r="E86" s="12"/>
      <c r="F86" s="13"/>
      <c r="G86" s="13"/>
      <c r="H86" s="14">
        <f t="shared" si="4"/>
      </c>
    </row>
    <row r="87" spans="1:8" ht="13.5">
      <c r="A87" s="15"/>
      <c r="B87" s="10"/>
      <c r="C87" s="22" t="s">
        <v>33</v>
      </c>
      <c r="D87" s="11"/>
      <c r="E87" s="12"/>
      <c r="F87" s="13"/>
      <c r="G87" s="13"/>
      <c r="H87" s="14">
        <f t="shared" si="4"/>
      </c>
    </row>
    <row r="88" spans="1:8" ht="13.5">
      <c r="A88" s="15"/>
      <c r="B88" s="10"/>
      <c r="C88" s="22" t="s">
        <v>33</v>
      </c>
      <c r="D88" s="11"/>
      <c r="E88" s="12"/>
      <c r="F88" s="13"/>
      <c r="G88" s="13"/>
      <c r="H88" s="14">
        <f t="shared" si="4"/>
      </c>
    </row>
    <row r="89" spans="1:8" ht="13.5">
      <c r="A89" s="15"/>
      <c r="B89" s="10"/>
      <c r="C89" s="22" t="s">
        <v>33</v>
      </c>
      <c r="D89" s="11"/>
      <c r="E89" s="12"/>
      <c r="F89" s="13"/>
      <c r="G89" s="13"/>
      <c r="H89" s="14">
        <f t="shared" si="4"/>
      </c>
    </row>
    <row r="90" spans="1:8" ht="13.5">
      <c r="A90" s="15"/>
      <c r="B90" s="10"/>
      <c r="C90" s="22" t="s">
        <v>33</v>
      </c>
      <c r="D90" s="11"/>
      <c r="E90" s="12"/>
      <c r="F90" s="13"/>
      <c r="G90" s="13"/>
      <c r="H90" s="14">
        <f t="shared" si="4"/>
      </c>
    </row>
    <row r="91" spans="1:8" ht="14.25" thickBot="1">
      <c r="A91" s="15"/>
      <c r="B91" s="10"/>
      <c r="C91" s="22" t="s">
        <v>33</v>
      </c>
      <c r="D91" s="11"/>
      <c r="E91" s="12"/>
      <c r="F91" s="13"/>
      <c r="G91" s="13"/>
      <c r="H91" s="14">
        <f t="shared" si="4"/>
      </c>
    </row>
    <row r="92" spans="1:8" ht="14.25" thickBot="1">
      <c r="A92" s="15"/>
      <c r="B92" s="17"/>
      <c r="C92" s="18"/>
      <c r="D92" s="18"/>
      <c r="E92" s="19" t="s">
        <v>8</v>
      </c>
      <c r="F92" s="20"/>
      <c r="G92" s="20"/>
      <c r="H92" s="21">
        <f>IF(AND(SUM(F5:F91)=0,SUM(G5:G91)=0),"",SUM(F5:F91)-SUM(G5:G91)+H4)</f>
      </c>
    </row>
  </sheetData>
  <sheetProtection/>
  <mergeCells count="1">
    <mergeCell ref="B1:C1"/>
  </mergeCells>
  <dataValidations count="2">
    <dataValidation type="list" allowBlank="1" showInputMessage="1" showErrorMessage="1" sqref="C5:C91">
      <formula1>$J$3:$J$32</formula1>
    </dataValidation>
    <dataValidation type="list" allowBlank="1" showInputMessage="1" showErrorMessage="1" sqref="D5:D91">
      <formula1>$J$37:$J$46</formula1>
    </dataValidation>
  </dataValidations>
  <printOptions/>
  <pageMargins left="0.75" right="0.75" top="1" bottom="1" header="0.512" footer="0.512"/>
  <pageSetup orientation="portrait" paperSize="9"/>
  <ignoredErrors>
    <ignoredError sqref="K5" formula="1"/>
  </ignoredErrors>
  <legacyDrawing r:id="rId2"/>
</worksheet>
</file>

<file path=xl/worksheets/sheet12.xml><?xml version="1.0" encoding="utf-8"?>
<worksheet xmlns="http://schemas.openxmlformats.org/spreadsheetml/2006/main" xmlns:r="http://schemas.openxmlformats.org/officeDocument/2006/relationships">
  <dimension ref="A1:Q92"/>
  <sheetViews>
    <sheetView zoomScalePageLayoutView="0" workbookViewId="0" topLeftCell="A1">
      <selection activeCell="J28" sqref="J28"/>
    </sheetView>
  </sheetViews>
  <sheetFormatPr defaultColWidth="9.00390625" defaultRowHeight="13.5"/>
  <cols>
    <col min="3" max="3" width="10.875" style="0" customWidth="1"/>
    <col min="4" max="4" width="18.125" style="0" customWidth="1"/>
    <col min="5" max="5" width="22.25390625" style="0" customWidth="1"/>
    <col min="6" max="7" width="11.875" style="0" customWidth="1"/>
    <col min="8" max="8" width="13.125" style="0" customWidth="1"/>
    <col min="10" max="10" width="12.75390625" style="0" bestFit="1" customWidth="1"/>
    <col min="14" max="14" width="5.25390625" style="0" bestFit="1" customWidth="1"/>
  </cols>
  <sheetData>
    <row r="1" spans="1:11" ht="23.25">
      <c r="A1" s="1"/>
      <c r="B1" s="38" t="s">
        <v>9</v>
      </c>
      <c r="C1" s="39"/>
      <c r="D1" s="2"/>
      <c r="E1" s="2"/>
      <c r="F1" s="2"/>
      <c r="G1" s="2"/>
      <c r="H1" s="2"/>
      <c r="K1" s="3"/>
    </row>
    <row r="2" spans="1:11" ht="15" thickBot="1">
      <c r="A2" s="1"/>
      <c r="B2" s="1"/>
      <c r="C2" s="1"/>
      <c r="D2" s="1"/>
      <c r="E2" s="1"/>
      <c r="F2" s="1"/>
      <c r="G2" s="1"/>
      <c r="H2" s="4" t="s">
        <v>53</v>
      </c>
      <c r="K2" s="3"/>
    </row>
    <row r="3" spans="1:17" ht="15" thickBot="1">
      <c r="A3" s="1"/>
      <c r="B3" s="5" t="s">
        <v>1</v>
      </c>
      <c r="C3" s="6" t="s">
        <v>2</v>
      </c>
      <c r="D3" s="7" t="s">
        <v>3</v>
      </c>
      <c r="E3" s="8" t="s">
        <v>4</v>
      </c>
      <c r="F3" s="6" t="s">
        <v>5</v>
      </c>
      <c r="G3" s="6" t="s">
        <v>6</v>
      </c>
      <c r="H3" s="9" t="s">
        <v>7</v>
      </c>
      <c r="J3" s="27" t="str">
        <f>IF('１月'!J3="","",'１月'!J3)</f>
        <v>売上</v>
      </c>
      <c r="K3" s="28">
        <f>SUMIF($C$5:$C$91,J3,$F$5:$F$91)</f>
        <v>0</v>
      </c>
      <c r="M3" s="29" t="s">
        <v>36</v>
      </c>
      <c r="N3" s="29" t="s">
        <v>37</v>
      </c>
      <c r="O3" s="30" t="s">
        <v>38</v>
      </c>
      <c r="P3" s="30" t="s">
        <v>39</v>
      </c>
      <c r="Q3" s="27"/>
    </row>
    <row r="4" spans="1:17" ht="14.25">
      <c r="A4" s="1"/>
      <c r="B4" s="10"/>
      <c r="C4" s="22" t="s">
        <v>33</v>
      </c>
      <c r="D4" s="11"/>
      <c r="E4" s="12" t="s">
        <v>35</v>
      </c>
      <c r="F4" s="13"/>
      <c r="G4" s="13"/>
      <c r="H4" s="14">
        <f>'１１月'!H92</f>
      </c>
      <c r="J4" s="27" t="str">
        <f>IF('１月'!J4="","",'１月'!J4)</f>
        <v>仕入</v>
      </c>
      <c r="K4" s="28">
        <f>SUMIF($C$5:$C$91,J4,$G$5:$G$91)</f>
        <v>0</v>
      </c>
      <c r="M4" s="31">
        <v>40878</v>
      </c>
      <c r="N4" s="42" t="s">
        <v>81</v>
      </c>
      <c r="O4" s="28">
        <f>SUMIF($B$5:$B$91,"12月1日",$F$5:$F$91)</f>
        <v>0</v>
      </c>
      <c r="P4" s="28">
        <f>SUMIF($B$5:$B$91,"12月1日",$G$5:$G$91)</f>
        <v>0</v>
      </c>
      <c r="Q4" s="32">
        <f>O4-P4</f>
        <v>0</v>
      </c>
    </row>
    <row r="5" spans="1:17" ht="14.25">
      <c r="A5" s="1"/>
      <c r="B5" s="10"/>
      <c r="C5" s="22" t="s">
        <v>33</v>
      </c>
      <c r="D5" s="11"/>
      <c r="E5" s="12"/>
      <c r="F5" s="13"/>
      <c r="G5" s="13"/>
      <c r="H5" s="14">
        <f>IF(OR(H4="",AND(F5="",G5="")),"",H4+F5-G5)</f>
      </c>
      <c r="J5" s="27" t="str">
        <f>IF('１月'!J5="","",'１月'!J5)</f>
        <v>製造原価</v>
      </c>
      <c r="K5" s="28">
        <f>K3-K4</f>
        <v>0</v>
      </c>
      <c r="M5" s="31">
        <v>40879</v>
      </c>
      <c r="N5" s="42" t="s">
        <v>71</v>
      </c>
      <c r="O5" s="28">
        <f>SUMIF($B$5:$B$91,"12月2日",$F$5:$F$91)</f>
        <v>0</v>
      </c>
      <c r="P5" s="28">
        <f>SUMIF($B$5:$B$91,"12月2日",$G$5:$G$91)</f>
        <v>0</v>
      </c>
      <c r="Q5" s="32">
        <f aca="true" t="shared" si="0" ref="Q5:Q35">O5-P5</f>
        <v>0</v>
      </c>
    </row>
    <row r="6" spans="1:17" ht="14.25">
      <c r="A6" s="1"/>
      <c r="B6" s="10"/>
      <c r="C6" s="22" t="s">
        <v>33</v>
      </c>
      <c r="D6" s="11"/>
      <c r="E6" s="12"/>
      <c r="F6" s="13"/>
      <c r="G6" s="13"/>
      <c r="H6" s="14">
        <f aca="true" t="shared" si="1" ref="H6:H69">IF(OR(H5="",AND(F6="",G6="")),"",H5+F6-G6)</f>
      </c>
      <c r="J6" s="27" t="str">
        <f>IF('１月'!J6="","",'１月'!J6)</f>
        <v>租税公課</v>
      </c>
      <c r="K6" s="28">
        <f>SUMIF($C$5:$C$91,J6,$G$5:$G$91)</f>
        <v>0</v>
      </c>
      <c r="M6" s="31">
        <v>40880</v>
      </c>
      <c r="N6" s="42" t="s">
        <v>72</v>
      </c>
      <c r="O6" s="28">
        <f>SUMIF($B$5:$B$91,"12月3日",$F$5:$F$91)</f>
        <v>0</v>
      </c>
      <c r="P6" s="28">
        <f>SUMIF($B$5:$B$91,"12月3日",$G$5:$G$91)</f>
        <v>0</v>
      </c>
      <c r="Q6" s="32">
        <f t="shared" si="0"/>
        <v>0</v>
      </c>
    </row>
    <row r="7" spans="1:17" ht="14.25">
      <c r="A7" s="1"/>
      <c r="B7" s="10"/>
      <c r="C7" s="22" t="s">
        <v>33</v>
      </c>
      <c r="D7" s="11"/>
      <c r="E7" s="12"/>
      <c r="F7" s="13"/>
      <c r="G7" s="13"/>
      <c r="H7" s="14">
        <f t="shared" si="1"/>
      </c>
      <c r="J7" s="27" t="str">
        <f>IF('１月'!J7="","",'１月'!J7)</f>
        <v>荷造運賃</v>
      </c>
      <c r="K7" s="28">
        <f aca="true" t="shared" si="2" ref="K7:K28">SUMIF($C$5:$C$91,J7,$G$5:$G$91)</f>
        <v>0</v>
      </c>
      <c r="M7" s="31">
        <v>40881</v>
      </c>
      <c r="N7" s="42" t="s">
        <v>66</v>
      </c>
      <c r="O7" s="28">
        <f>SUMIF($B$5:$B$91,"12月4日",$F$5:$F$91)</f>
        <v>0</v>
      </c>
      <c r="P7" s="28">
        <f>SUMIF($B$5:$B$91,"12月4日",$G$5:$G$91)</f>
        <v>0</v>
      </c>
      <c r="Q7" s="32">
        <f t="shared" si="0"/>
        <v>0</v>
      </c>
    </row>
    <row r="8" spans="1:17" ht="14.25">
      <c r="A8" s="1"/>
      <c r="B8" s="10"/>
      <c r="C8" s="22" t="s">
        <v>33</v>
      </c>
      <c r="D8" s="11"/>
      <c r="E8" s="12"/>
      <c r="F8" s="13"/>
      <c r="G8" s="13"/>
      <c r="H8" s="14">
        <f t="shared" si="1"/>
      </c>
      <c r="J8" s="27" t="str">
        <f>IF('１月'!J8="","",'１月'!J8)</f>
        <v>水道光熱費</v>
      </c>
      <c r="K8" s="28">
        <f t="shared" si="2"/>
        <v>0</v>
      </c>
      <c r="M8" s="31">
        <v>40882</v>
      </c>
      <c r="N8" s="42" t="s">
        <v>67</v>
      </c>
      <c r="O8" s="28">
        <f>SUMIF($B$5:$B$91,"12月5日",$F$5:$F$91)</f>
        <v>0</v>
      </c>
      <c r="P8" s="28">
        <f>SUMIF($B$5:$B$91,"12月5日",$G$5:$G$91)</f>
        <v>0</v>
      </c>
      <c r="Q8" s="32">
        <f t="shared" si="0"/>
        <v>0</v>
      </c>
    </row>
    <row r="9" spans="1:17" ht="14.25">
      <c r="A9" s="1"/>
      <c r="B9" s="10"/>
      <c r="C9" s="22" t="s">
        <v>33</v>
      </c>
      <c r="D9" s="11"/>
      <c r="E9" s="12"/>
      <c r="F9" s="13"/>
      <c r="G9" s="13"/>
      <c r="H9" s="14">
        <f t="shared" si="1"/>
      </c>
      <c r="J9" s="27" t="str">
        <f>IF('１月'!J9="","",'１月'!J9)</f>
        <v>旅費交通費</v>
      </c>
      <c r="K9" s="28">
        <f t="shared" si="2"/>
        <v>0</v>
      </c>
      <c r="M9" s="31">
        <v>40883</v>
      </c>
      <c r="N9" s="42" t="s">
        <v>68</v>
      </c>
      <c r="O9" s="28">
        <f>SUMIF($B$5:$B$91,"12月6日",$F$5:$F$91)</f>
        <v>0</v>
      </c>
      <c r="P9" s="28">
        <f>SUMIF($B$5:$B$91,"12月6日",$G$5:$G$91)</f>
        <v>0</v>
      </c>
      <c r="Q9" s="32">
        <f t="shared" si="0"/>
        <v>0</v>
      </c>
    </row>
    <row r="10" spans="1:17" ht="14.25">
      <c r="A10" s="15"/>
      <c r="B10" s="10"/>
      <c r="C10" s="22" t="s">
        <v>33</v>
      </c>
      <c r="D10" s="11"/>
      <c r="E10" s="12"/>
      <c r="F10" s="13"/>
      <c r="G10" s="13"/>
      <c r="H10" s="14">
        <f t="shared" si="1"/>
      </c>
      <c r="J10" s="27" t="str">
        <f>IF('１月'!J10="","",'１月'!J10)</f>
        <v>通信費</v>
      </c>
      <c r="K10" s="28">
        <f t="shared" si="2"/>
        <v>0</v>
      </c>
      <c r="M10" s="31">
        <v>40884</v>
      </c>
      <c r="N10" s="42" t="s">
        <v>69</v>
      </c>
      <c r="O10" s="28">
        <f>SUMIF($B$5:$B$91,"12月7日",$F$5:$F$91)</f>
        <v>0</v>
      </c>
      <c r="P10" s="28">
        <f>SUMIF($B$5:$B$91,"12月7日",$G$5:$G$91)</f>
        <v>0</v>
      </c>
      <c r="Q10" s="32">
        <f t="shared" si="0"/>
        <v>0</v>
      </c>
    </row>
    <row r="11" spans="1:17" ht="14.25">
      <c r="A11" s="15"/>
      <c r="B11" s="10"/>
      <c r="C11" s="22" t="s">
        <v>33</v>
      </c>
      <c r="D11" s="11"/>
      <c r="E11" s="12"/>
      <c r="F11" s="13"/>
      <c r="G11" s="13"/>
      <c r="H11" s="14">
        <f t="shared" si="1"/>
      </c>
      <c r="J11" s="27" t="str">
        <f>IF('１月'!J11="","",'１月'!J11)</f>
        <v>広告宣伝費</v>
      </c>
      <c r="K11" s="28">
        <f t="shared" si="2"/>
        <v>0</v>
      </c>
      <c r="M11" s="31">
        <v>40885</v>
      </c>
      <c r="N11" s="42" t="s">
        <v>70</v>
      </c>
      <c r="O11" s="28">
        <f>SUMIF($B$5:$B$91,"12月8日",$F$5:$F$91)</f>
        <v>0</v>
      </c>
      <c r="P11" s="28">
        <f>SUMIF($B$5:$B$91,"12月8日",$G$5:$G$91)</f>
        <v>0</v>
      </c>
      <c r="Q11" s="32">
        <f t="shared" si="0"/>
        <v>0</v>
      </c>
    </row>
    <row r="12" spans="1:17" ht="14.25">
      <c r="A12" s="15"/>
      <c r="B12" s="10"/>
      <c r="C12" s="22" t="s">
        <v>33</v>
      </c>
      <c r="D12" s="11"/>
      <c r="E12" s="12"/>
      <c r="F12" s="13"/>
      <c r="G12" s="13"/>
      <c r="H12" s="14">
        <f t="shared" si="1"/>
      </c>
      <c r="J12" s="27" t="str">
        <f>IF('１月'!J12="","",'１月'!J12)</f>
        <v>接待交際費</v>
      </c>
      <c r="K12" s="28">
        <f t="shared" si="2"/>
        <v>0</v>
      </c>
      <c r="M12" s="31">
        <v>40886</v>
      </c>
      <c r="N12" s="42" t="s">
        <v>71</v>
      </c>
      <c r="O12" s="28">
        <f>SUMIF($B$5:$B$91,"12月9日",$F$5:$F$91)</f>
        <v>0</v>
      </c>
      <c r="P12" s="28">
        <f>SUMIF($B$5:$B$91,"12月9日",$G$5:$G$91)</f>
        <v>0</v>
      </c>
      <c r="Q12" s="32">
        <f t="shared" si="0"/>
        <v>0</v>
      </c>
    </row>
    <row r="13" spans="1:17" ht="14.25">
      <c r="A13" s="15"/>
      <c r="B13" s="10"/>
      <c r="C13" s="22" t="s">
        <v>33</v>
      </c>
      <c r="D13" s="11"/>
      <c r="E13" s="12"/>
      <c r="F13" s="13"/>
      <c r="G13" s="13"/>
      <c r="H13" s="14">
        <f t="shared" si="1"/>
      </c>
      <c r="J13" s="27" t="str">
        <f>IF('１月'!J13="","",'１月'!J13)</f>
        <v>損害保険料</v>
      </c>
      <c r="K13" s="28">
        <f t="shared" si="2"/>
        <v>0</v>
      </c>
      <c r="M13" s="31">
        <v>40887</v>
      </c>
      <c r="N13" s="42" t="s">
        <v>72</v>
      </c>
      <c r="O13" s="28">
        <f>SUMIF($B$5:$B$91,"12月10日",$F$5:$F$91)</f>
        <v>0</v>
      </c>
      <c r="P13" s="28">
        <f>SUMIF($B$5:$B$91,"12月10日",$G$5:$G$91)</f>
        <v>0</v>
      </c>
      <c r="Q13" s="32">
        <f t="shared" si="0"/>
        <v>0</v>
      </c>
    </row>
    <row r="14" spans="1:17" ht="14.25">
      <c r="A14" s="15"/>
      <c r="B14" s="10"/>
      <c r="C14" s="22" t="s">
        <v>33</v>
      </c>
      <c r="D14" s="11"/>
      <c r="E14" s="12"/>
      <c r="F14" s="13"/>
      <c r="G14" s="13"/>
      <c r="H14" s="14">
        <f t="shared" si="1"/>
      </c>
      <c r="J14" s="27" t="str">
        <f>IF('１月'!J14="","",'１月'!J14)</f>
        <v>修繕費</v>
      </c>
      <c r="K14" s="28">
        <f t="shared" si="2"/>
        <v>0</v>
      </c>
      <c r="M14" s="31">
        <v>40888</v>
      </c>
      <c r="N14" s="42" t="s">
        <v>66</v>
      </c>
      <c r="O14" s="28">
        <f>SUMIF($B$5:$B$91,"12月11日",$F$5:$F$91)</f>
        <v>0</v>
      </c>
      <c r="P14" s="28">
        <f>SUMIF($B$5:$B$91,"12月11日",$G$5:$G$91)</f>
        <v>0</v>
      </c>
      <c r="Q14" s="32">
        <f t="shared" si="0"/>
        <v>0</v>
      </c>
    </row>
    <row r="15" spans="1:17" ht="14.25">
      <c r="A15" s="15"/>
      <c r="B15" s="10"/>
      <c r="C15" s="22" t="s">
        <v>33</v>
      </c>
      <c r="D15" s="11"/>
      <c r="E15" s="16"/>
      <c r="F15" s="13"/>
      <c r="G15" s="13"/>
      <c r="H15" s="14">
        <f t="shared" si="1"/>
      </c>
      <c r="J15" s="27" t="str">
        <f>IF('１月'!J15="","",'１月'!J15)</f>
        <v>消耗品費</v>
      </c>
      <c r="K15" s="28">
        <f t="shared" si="2"/>
        <v>0</v>
      </c>
      <c r="M15" s="31">
        <v>40889</v>
      </c>
      <c r="N15" s="42" t="s">
        <v>67</v>
      </c>
      <c r="O15" s="28">
        <f>SUMIF($B$5:$B$91,"12月12日",$F$5:$F$91)</f>
        <v>0</v>
      </c>
      <c r="P15" s="28">
        <f>SUMIF($B$5:$B$91,"12月12日",$G$5:$G$91)</f>
        <v>0</v>
      </c>
      <c r="Q15" s="32">
        <f t="shared" si="0"/>
        <v>0</v>
      </c>
    </row>
    <row r="16" spans="1:17" ht="14.25">
      <c r="A16" s="15"/>
      <c r="B16" s="10"/>
      <c r="C16" s="22" t="s">
        <v>33</v>
      </c>
      <c r="D16" s="11"/>
      <c r="E16" s="12"/>
      <c r="F16" s="13"/>
      <c r="G16" s="13"/>
      <c r="H16" s="14">
        <f t="shared" si="1"/>
      </c>
      <c r="J16" s="27" t="str">
        <f>IF('１月'!J16="","",'１月'!J16)</f>
        <v>福利厚生費</v>
      </c>
      <c r="K16" s="28">
        <f t="shared" si="2"/>
        <v>0</v>
      </c>
      <c r="M16" s="31">
        <v>40890</v>
      </c>
      <c r="N16" s="42" t="s">
        <v>68</v>
      </c>
      <c r="O16" s="28">
        <f>SUMIF($B$5:$B$91,"12月13日",$F$5:$F$91)</f>
        <v>0</v>
      </c>
      <c r="P16" s="28">
        <f>SUMIF($B$5:$B$91,"12月13日",$G$5:$G$91)</f>
        <v>0</v>
      </c>
      <c r="Q16" s="32">
        <f t="shared" si="0"/>
        <v>0</v>
      </c>
    </row>
    <row r="17" spans="1:17" ht="14.25">
      <c r="A17" s="15"/>
      <c r="B17" s="10"/>
      <c r="C17" s="22" t="s">
        <v>33</v>
      </c>
      <c r="D17" s="11"/>
      <c r="E17" s="12"/>
      <c r="F17" s="13"/>
      <c r="G17" s="13"/>
      <c r="H17" s="14">
        <f t="shared" si="1"/>
      </c>
      <c r="J17" s="27" t="str">
        <f>IF('１月'!J17="","",'１月'!J17)</f>
        <v>給与賃金</v>
      </c>
      <c r="K17" s="28">
        <f t="shared" si="2"/>
        <v>0</v>
      </c>
      <c r="M17" s="31">
        <v>40891</v>
      </c>
      <c r="N17" s="42" t="s">
        <v>69</v>
      </c>
      <c r="O17" s="28">
        <f>SUMIF($B$5:$B$91,"12月14日",$F$5:$F$91)</f>
        <v>0</v>
      </c>
      <c r="P17" s="28">
        <f>SUMIF($B$5:$B$91,"12月14日",$G$5:$G$91)</f>
        <v>0</v>
      </c>
      <c r="Q17" s="32">
        <f t="shared" si="0"/>
        <v>0</v>
      </c>
    </row>
    <row r="18" spans="1:17" ht="14.25">
      <c r="A18" s="15"/>
      <c r="B18" s="10"/>
      <c r="C18" s="22" t="s">
        <v>33</v>
      </c>
      <c r="D18" s="11"/>
      <c r="E18" s="12"/>
      <c r="F18" s="13"/>
      <c r="G18" s="13"/>
      <c r="H18" s="14">
        <f t="shared" si="1"/>
      </c>
      <c r="J18" s="27" t="str">
        <f>IF('１月'!J18="","",'１月'!J18)</f>
        <v>利子割引料</v>
      </c>
      <c r="K18" s="28">
        <f t="shared" si="2"/>
        <v>0</v>
      </c>
      <c r="M18" s="31">
        <v>40892</v>
      </c>
      <c r="N18" s="42" t="s">
        <v>70</v>
      </c>
      <c r="O18" s="28">
        <f>SUMIF($B$5:$B$91,"12月15日",$F$5:$F$91)</f>
        <v>0</v>
      </c>
      <c r="P18" s="28">
        <f>SUMIF($B$5:$B$91,"12月15日",$G$5:$G$91)</f>
        <v>0</v>
      </c>
      <c r="Q18" s="32">
        <f t="shared" si="0"/>
        <v>0</v>
      </c>
    </row>
    <row r="19" spans="1:17" ht="14.25">
      <c r="A19" s="15"/>
      <c r="B19" s="10"/>
      <c r="C19" s="22" t="s">
        <v>33</v>
      </c>
      <c r="D19" s="11"/>
      <c r="E19" s="12"/>
      <c r="F19" s="13"/>
      <c r="G19" s="13"/>
      <c r="H19" s="14">
        <f t="shared" si="1"/>
      </c>
      <c r="J19" s="27" t="str">
        <f>IF('１月'!J19="","",'１月'!J19)</f>
        <v>地代家賃</v>
      </c>
      <c r="K19" s="28">
        <f t="shared" si="2"/>
        <v>0</v>
      </c>
      <c r="M19" s="31">
        <v>40893</v>
      </c>
      <c r="N19" s="42" t="s">
        <v>71</v>
      </c>
      <c r="O19" s="28">
        <f>SUMIF($B$5:$B$91,"12月16日",$F$5:$F$91)</f>
        <v>0</v>
      </c>
      <c r="P19" s="28">
        <f>SUMIF($B$5:$B$91,"12月16日",$G$5:$G$91)</f>
        <v>0</v>
      </c>
      <c r="Q19" s="32">
        <f t="shared" si="0"/>
        <v>0</v>
      </c>
    </row>
    <row r="20" spans="1:17" ht="14.25">
      <c r="A20" s="15"/>
      <c r="B20" s="10"/>
      <c r="C20" s="22" t="s">
        <v>33</v>
      </c>
      <c r="D20" s="11"/>
      <c r="E20" s="12"/>
      <c r="F20" s="13"/>
      <c r="G20" s="13"/>
      <c r="H20" s="14">
        <f t="shared" si="1"/>
      </c>
      <c r="J20" s="27" t="str">
        <f>IF('１月'!J20="","",'１月'!J20)</f>
        <v>貸倒金</v>
      </c>
      <c r="K20" s="28">
        <f t="shared" si="2"/>
        <v>0</v>
      </c>
      <c r="M20" s="31">
        <v>40894</v>
      </c>
      <c r="N20" s="42" t="s">
        <v>72</v>
      </c>
      <c r="O20" s="28">
        <f>SUMIF($B$5:$B$91,"12月17日",$F$5:$F$91)</f>
        <v>0</v>
      </c>
      <c r="P20" s="28">
        <f>SUMIF($B$5:$B$91,"12月17日",$G$5:$G$91)</f>
        <v>0</v>
      </c>
      <c r="Q20" s="32">
        <f t="shared" si="0"/>
        <v>0</v>
      </c>
    </row>
    <row r="21" spans="1:17" ht="14.25">
      <c r="A21" s="15"/>
      <c r="B21" s="10"/>
      <c r="C21" s="22" t="s">
        <v>33</v>
      </c>
      <c r="D21" s="11"/>
      <c r="E21" s="16"/>
      <c r="F21" s="13"/>
      <c r="G21" s="13"/>
      <c r="H21" s="14">
        <f t="shared" si="1"/>
      </c>
      <c r="J21" s="27" t="str">
        <f>IF('１月'!J21="","",'１月'!J21)</f>
        <v>専従者給与</v>
      </c>
      <c r="K21" s="28">
        <f t="shared" si="2"/>
        <v>0</v>
      </c>
      <c r="M21" s="31">
        <v>40895</v>
      </c>
      <c r="N21" s="42" t="s">
        <v>66</v>
      </c>
      <c r="O21" s="28">
        <f>SUMIF($B$5:$B$91,"12月18日",$F$5:$F$91)</f>
        <v>0</v>
      </c>
      <c r="P21" s="28">
        <f>SUMIF($B$5:$B$91,"12月18日",$G$5:$G$91)</f>
        <v>0</v>
      </c>
      <c r="Q21" s="32">
        <f t="shared" si="0"/>
        <v>0</v>
      </c>
    </row>
    <row r="22" spans="1:17" ht="14.25">
      <c r="A22" s="15"/>
      <c r="B22" s="10"/>
      <c r="C22" s="22" t="s">
        <v>33</v>
      </c>
      <c r="D22" s="11"/>
      <c r="E22" s="12"/>
      <c r="F22" s="13"/>
      <c r="G22" s="13"/>
      <c r="H22" s="14">
        <f t="shared" si="1"/>
      </c>
      <c r="J22" s="27" t="str">
        <f>IF('１月'!J22="","",'１月'!J22)</f>
        <v>リース料</v>
      </c>
      <c r="K22" s="28">
        <f t="shared" si="2"/>
        <v>0</v>
      </c>
      <c r="M22" s="31">
        <v>40896</v>
      </c>
      <c r="N22" s="42" t="s">
        <v>67</v>
      </c>
      <c r="O22" s="28">
        <f>SUMIF($B$5:$B$91,"12月19日",$F$5:$F$91)</f>
        <v>0</v>
      </c>
      <c r="P22" s="28">
        <f>SUMIF($B$5:$B$91,"12月19日",$G$5:$G$91)</f>
        <v>0</v>
      </c>
      <c r="Q22" s="32">
        <f t="shared" si="0"/>
        <v>0</v>
      </c>
    </row>
    <row r="23" spans="1:17" ht="14.25">
      <c r="A23" s="15"/>
      <c r="B23" s="10"/>
      <c r="C23" s="22" t="s">
        <v>33</v>
      </c>
      <c r="D23" s="11"/>
      <c r="E23" s="12"/>
      <c r="F23" s="13"/>
      <c r="G23" s="13"/>
      <c r="H23" s="14">
        <f t="shared" si="1"/>
      </c>
      <c r="J23" s="27" t="str">
        <f>IF('１月'!J23="","",'１月'!J23)</f>
        <v>外注費</v>
      </c>
      <c r="K23" s="28">
        <f t="shared" si="2"/>
        <v>0</v>
      </c>
      <c r="M23" s="31">
        <v>40897</v>
      </c>
      <c r="N23" s="42" t="s">
        <v>68</v>
      </c>
      <c r="O23" s="28">
        <f>SUMIF($B$5:$B$91,"12月20日",$F$5:$F$91)</f>
        <v>0</v>
      </c>
      <c r="P23" s="28">
        <f>SUMIF($B$5:$B$91,"12月20日",$G$5:$G$91)</f>
        <v>0</v>
      </c>
      <c r="Q23" s="32">
        <f t="shared" si="0"/>
        <v>0</v>
      </c>
    </row>
    <row r="24" spans="1:17" ht="14.25">
      <c r="A24" s="15"/>
      <c r="B24" s="10"/>
      <c r="C24" s="22" t="s">
        <v>33</v>
      </c>
      <c r="D24" s="11"/>
      <c r="E24" s="12"/>
      <c r="F24" s="13"/>
      <c r="G24" s="13"/>
      <c r="H24" s="14">
        <f t="shared" si="1"/>
      </c>
      <c r="J24" s="27">
        <f>IF('１月'!J24="","",'１月'!J24)</f>
      </c>
      <c r="K24" s="28">
        <f t="shared" si="2"/>
        <v>0</v>
      </c>
      <c r="M24" s="31">
        <v>40898</v>
      </c>
      <c r="N24" s="42" t="s">
        <v>69</v>
      </c>
      <c r="O24" s="28">
        <f>SUMIF($B$5:$B$91,"12月21日",$F$5:$F$91)</f>
        <v>0</v>
      </c>
      <c r="P24" s="28">
        <f>SUMIF($B$5:$B$91,"12月21日",$G$5:$G$91)</f>
        <v>0</v>
      </c>
      <c r="Q24" s="32">
        <f t="shared" si="0"/>
        <v>0</v>
      </c>
    </row>
    <row r="25" spans="1:17" ht="14.25">
      <c r="A25" s="15"/>
      <c r="B25" s="10"/>
      <c r="C25" s="22" t="s">
        <v>33</v>
      </c>
      <c r="D25" s="11"/>
      <c r="E25" s="12"/>
      <c r="F25" s="13"/>
      <c r="G25" s="13"/>
      <c r="H25" s="14">
        <f t="shared" si="1"/>
      </c>
      <c r="J25" s="27" t="str">
        <f>IF('１月'!J25="","",'１月'!J25)</f>
        <v>　</v>
      </c>
      <c r="K25" s="28">
        <f t="shared" si="2"/>
        <v>0</v>
      </c>
      <c r="M25" s="31">
        <v>40899</v>
      </c>
      <c r="N25" s="42" t="s">
        <v>70</v>
      </c>
      <c r="O25" s="28">
        <f>SUMIF($B$5:$B$91,"12月22日",$F$5:$F$91)</f>
        <v>0</v>
      </c>
      <c r="P25" s="28">
        <f>SUMIF($B$5:$B$91,"12月22日",$G$5:$G$91)</f>
        <v>0</v>
      </c>
      <c r="Q25" s="32">
        <f t="shared" si="0"/>
        <v>0</v>
      </c>
    </row>
    <row r="26" spans="1:17" ht="14.25">
      <c r="A26" s="15"/>
      <c r="B26" s="10"/>
      <c r="C26" s="22" t="s">
        <v>33</v>
      </c>
      <c r="D26" s="11"/>
      <c r="E26" s="12"/>
      <c r="F26" s="13"/>
      <c r="G26" s="13"/>
      <c r="H26" s="14">
        <f t="shared" si="1"/>
      </c>
      <c r="J26" s="27">
        <f>IF('１月'!J26="","",'１月'!J26)</f>
      </c>
      <c r="K26" s="28">
        <f t="shared" si="2"/>
        <v>0</v>
      </c>
      <c r="M26" s="31">
        <v>40900</v>
      </c>
      <c r="N26" s="42" t="s">
        <v>71</v>
      </c>
      <c r="O26" s="28">
        <f>SUMIF($B$5:$B$91,"12月23日",$F$5:$F$91)</f>
        <v>0</v>
      </c>
      <c r="P26" s="28">
        <f>SUMIF($B$5:$B$91,"12月23日",$G$5:$G$91)</f>
        <v>0</v>
      </c>
      <c r="Q26" s="32">
        <f t="shared" si="0"/>
        <v>0</v>
      </c>
    </row>
    <row r="27" spans="1:17" ht="14.25">
      <c r="A27" s="15"/>
      <c r="B27" s="10"/>
      <c r="C27" s="22" t="s">
        <v>33</v>
      </c>
      <c r="D27" s="11"/>
      <c r="E27" s="12"/>
      <c r="F27" s="13"/>
      <c r="G27" s="13"/>
      <c r="H27" s="14">
        <f t="shared" si="1"/>
      </c>
      <c r="J27" s="27">
        <f>IF('１月'!J27="","",'１月'!J27)</f>
      </c>
      <c r="K27" s="28">
        <f t="shared" si="2"/>
        <v>0</v>
      </c>
      <c r="M27" s="31">
        <v>40901</v>
      </c>
      <c r="N27" s="42" t="s">
        <v>72</v>
      </c>
      <c r="O27" s="28">
        <f>SUMIF($B$5:$B$91,"12月24日",$F$5:$F$91)</f>
        <v>0</v>
      </c>
      <c r="P27" s="28">
        <f>SUMIF($B$5:$B$91,"12月24日",$G$5:$G$91)</f>
        <v>0</v>
      </c>
      <c r="Q27" s="32">
        <f t="shared" si="0"/>
        <v>0</v>
      </c>
    </row>
    <row r="28" spans="1:17" ht="14.25">
      <c r="A28" s="15"/>
      <c r="B28" s="10"/>
      <c r="C28" s="22" t="s">
        <v>33</v>
      </c>
      <c r="D28" s="11"/>
      <c r="E28" s="12"/>
      <c r="F28" s="13"/>
      <c r="G28" s="13"/>
      <c r="H28" s="14">
        <f t="shared" si="1"/>
      </c>
      <c r="J28" s="27" t="str">
        <f>IF('１月'!J28="","",'１月'!J28)</f>
        <v>雑費</v>
      </c>
      <c r="K28" s="28">
        <f t="shared" si="2"/>
        <v>0</v>
      </c>
      <c r="M28" s="31">
        <v>40902</v>
      </c>
      <c r="N28" s="42" t="s">
        <v>66</v>
      </c>
      <c r="O28" s="28">
        <f>SUMIF($B$5:$B$91,"12月25日",$F$5:$F$91)</f>
        <v>0</v>
      </c>
      <c r="P28" s="28">
        <f>SUMIF($B$5:$B$91,"12月25日",$G$5:$G$91)</f>
        <v>0</v>
      </c>
      <c r="Q28" s="32">
        <f t="shared" si="0"/>
        <v>0</v>
      </c>
    </row>
    <row r="29" spans="1:17" ht="14.25">
      <c r="A29" s="15"/>
      <c r="B29" s="10"/>
      <c r="C29" s="22" t="s">
        <v>33</v>
      </c>
      <c r="D29" s="11"/>
      <c r="E29" s="12"/>
      <c r="F29" s="13"/>
      <c r="G29" s="13"/>
      <c r="H29" s="14">
        <f t="shared" si="1"/>
      </c>
      <c r="J29" s="27" t="str">
        <f>IF('１月'!J29="","",'１月'!J29)</f>
        <v>経費合計</v>
      </c>
      <c r="K29" s="28">
        <f>SUM(K6:K28)</f>
        <v>0</v>
      </c>
      <c r="M29" s="31">
        <v>40903</v>
      </c>
      <c r="N29" s="42" t="s">
        <v>67</v>
      </c>
      <c r="O29" s="28">
        <f>SUMIF($B$5:$B$91,"12月26日",$F$5:$F$91)</f>
        <v>0</v>
      </c>
      <c r="P29" s="28">
        <f>SUMIF($B$5:$B$91,"12月26日",$G$5:$G$91)</f>
        <v>0</v>
      </c>
      <c r="Q29" s="32">
        <f t="shared" si="0"/>
        <v>0</v>
      </c>
    </row>
    <row r="30" spans="1:17" ht="14.25">
      <c r="A30" s="15"/>
      <c r="B30" s="10"/>
      <c r="C30" s="22" t="s">
        <v>33</v>
      </c>
      <c r="D30" s="11"/>
      <c r="E30" s="12"/>
      <c r="F30" s="13"/>
      <c r="G30" s="13"/>
      <c r="H30" s="14">
        <f t="shared" si="1"/>
      </c>
      <c r="J30" s="27" t="str">
        <f>IF('１月'!J30="","",'１月'!J30)</f>
        <v>利益</v>
      </c>
      <c r="K30" s="28">
        <f>K5-K29</f>
        <v>0</v>
      </c>
      <c r="M30" s="31">
        <v>40904</v>
      </c>
      <c r="N30" s="42" t="s">
        <v>68</v>
      </c>
      <c r="O30" s="28">
        <f>SUMIF($B$5:$B$91,"12月27日",$F$5:$F$91)</f>
        <v>0</v>
      </c>
      <c r="P30" s="28">
        <f>SUMIF($B$5:$B$91,"12月27日",$G$5:$G$91)</f>
        <v>0</v>
      </c>
      <c r="Q30" s="32">
        <f t="shared" si="0"/>
        <v>0</v>
      </c>
    </row>
    <row r="31" spans="1:17" ht="13.5">
      <c r="A31" s="15"/>
      <c r="B31" s="10"/>
      <c r="C31" s="22" t="s">
        <v>33</v>
      </c>
      <c r="D31" s="11"/>
      <c r="E31" s="12"/>
      <c r="F31" s="13"/>
      <c r="G31" s="13"/>
      <c r="H31" s="14">
        <f t="shared" si="1"/>
      </c>
      <c r="J31" s="27" t="str">
        <f>IF('１月'!J31="","",'１月'!J31)</f>
        <v>入金</v>
      </c>
      <c r="K31" s="28">
        <f>SUMIF($C$5:$C$91,J31,$F$5:$F$91)</f>
        <v>0</v>
      </c>
      <c r="M31" s="31">
        <v>40905</v>
      </c>
      <c r="N31" s="42" t="s">
        <v>69</v>
      </c>
      <c r="O31" s="28">
        <f>SUMIF($B$5:$B$91,"12月28日",$F$5:$F$91)</f>
        <v>0</v>
      </c>
      <c r="P31" s="28">
        <f>SUMIF($B$5:$B$91,"12月28日",$G$5:$G$91)</f>
        <v>0</v>
      </c>
      <c r="Q31" s="32">
        <f t="shared" si="0"/>
        <v>0</v>
      </c>
    </row>
    <row r="32" spans="1:17" ht="13.5">
      <c r="A32" s="15"/>
      <c r="B32" s="10"/>
      <c r="C32" s="22" t="s">
        <v>33</v>
      </c>
      <c r="D32" s="11"/>
      <c r="E32" s="12"/>
      <c r="F32" s="13"/>
      <c r="G32" s="13"/>
      <c r="H32" s="14">
        <f t="shared" si="1"/>
      </c>
      <c r="J32" s="27" t="str">
        <f>IF('１月'!J32="","",'１月'!J32)</f>
        <v>その他支払い</v>
      </c>
      <c r="K32" s="28">
        <f>SUMIF($C$5:$C$91,J32,$G$5:$G$91)</f>
        <v>0</v>
      </c>
      <c r="M32" s="31">
        <v>40906</v>
      </c>
      <c r="N32" s="42" t="s">
        <v>70</v>
      </c>
      <c r="O32" s="28">
        <f>SUMIF($B$5:$B$91,"12月29日",$F$5:$F$91)</f>
        <v>0</v>
      </c>
      <c r="P32" s="28">
        <f>SUMIF($B$5:$B$91,"12月29日",$G$5:$G$91)</f>
        <v>0</v>
      </c>
      <c r="Q32" s="32">
        <f t="shared" si="0"/>
        <v>0</v>
      </c>
    </row>
    <row r="33" spans="1:17" ht="13.5">
      <c r="A33" s="15"/>
      <c r="B33" s="10"/>
      <c r="C33" s="22" t="s">
        <v>33</v>
      </c>
      <c r="D33" s="11"/>
      <c r="E33" s="12"/>
      <c r="F33" s="13"/>
      <c r="G33" s="13"/>
      <c r="H33" s="14">
        <f t="shared" si="1"/>
      </c>
      <c r="K33" s="3"/>
      <c r="M33" s="31">
        <v>40907</v>
      </c>
      <c r="N33" s="42" t="s">
        <v>71</v>
      </c>
      <c r="O33" s="28">
        <f>SUMIF($B$5:$B$91,"12月30日",$F$5:$F$91)</f>
        <v>0</v>
      </c>
      <c r="P33" s="28">
        <f>SUMIF($B$5:$B$91,"12月30日",$G$5:$G$91)</f>
        <v>0</v>
      </c>
      <c r="Q33" s="32">
        <f t="shared" si="0"/>
        <v>0</v>
      </c>
    </row>
    <row r="34" spans="1:17" ht="13.5">
      <c r="A34" s="15"/>
      <c r="B34" s="10"/>
      <c r="C34" s="22" t="s">
        <v>33</v>
      </c>
      <c r="D34" s="11"/>
      <c r="E34" s="12"/>
      <c r="F34" s="13"/>
      <c r="G34" s="13"/>
      <c r="H34" s="14">
        <f t="shared" si="1"/>
      </c>
      <c r="K34" s="3"/>
      <c r="M34" s="31">
        <v>40908</v>
      </c>
      <c r="N34" s="42" t="s">
        <v>72</v>
      </c>
      <c r="O34" s="28">
        <f>SUMIF($B$5:$B$91,"12月31日",$F$5:$F$91)</f>
        <v>0</v>
      </c>
      <c r="P34" s="28">
        <f>SUMIF($B$5:$B$91,"12月31日",$G$5:$G$91)</f>
        <v>0</v>
      </c>
      <c r="Q34" s="32">
        <f t="shared" si="0"/>
        <v>0</v>
      </c>
    </row>
    <row r="35" spans="1:17" ht="13.5">
      <c r="A35" s="15"/>
      <c r="B35" s="10"/>
      <c r="C35" s="22" t="s">
        <v>33</v>
      </c>
      <c r="D35" s="11"/>
      <c r="E35" s="12"/>
      <c r="F35" s="13"/>
      <c r="G35" s="13"/>
      <c r="H35" s="14">
        <f t="shared" si="1"/>
      </c>
      <c r="K35" s="3"/>
      <c r="M35" s="27"/>
      <c r="N35" s="27"/>
      <c r="O35" s="32">
        <f>SUM(O4:O34)</f>
        <v>0</v>
      </c>
      <c r="P35" s="32">
        <f>SUM(P4:P34)</f>
        <v>0</v>
      </c>
      <c r="Q35" s="32">
        <f t="shared" si="0"/>
        <v>0</v>
      </c>
    </row>
    <row r="36" spans="1:8" ht="13.5">
      <c r="A36" s="15"/>
      <c r="B36" s="10"/>
      <c r="C36" s="22" t="s">
        <v>33</v>
      </c>
      <c r="D36" s="11"/>
      <c r="E36" s="12"/>
      <c r="F36" s="13"/>
      <c r="G36" s="13"/>
      <c r="H36" s="14">
        <f t="shared" si="1"/>
      </c>
    </row>
    <row r="37" spans="1:11" ht="13.5">
      <c r="A37" s="15"/>
      <c r="B37" s="10"/>
      <c r="C37" s="22" t="s">
        <v>33</v>
      </c>
      <c r="D37" s="11"/>
      <c r="E37" s="12"/>
      <c r="F37" s="13"/>
      <c r="G37" s="13"/>
      <c r="H37" s="14">
        <f t="shared" si="1"/>
      </c>
      <c r="J37" s="27">
        <f>IF('１月'!J37="","",'１月'!J37)</f>
      </c>
      <c r="K37" s="28">
        <f aca="true" t="shared" si="3" ref="K37:K46">SUMIF($D$5:$D$91,J37,$G$5:$G$91)</f>
        <v>0</v>
      </c>
    </row>
    <row r="38" spans="1:11" ht="13.5">
      <c r="A38" s="15"/>
      <c r="B38" s="10"/>
      <c r="C38" s="22" t="s">
        <v>33</v>
      </c>
      <c r="D38" s="11"/>
      <c r="E38" s="12"/>
      <c r="F38" s="13"/>
      <c r="G38" s="13"/>
      <c r="H38" s="14">
        <f t="shared" si="1"/>
      </c>
      <c r="J38" s="27">
        <f>IF('１月'!J38="","",'１月'!J38)</f>
      </c>
      <c r="K38" s="28">
        <f t="shared" si="3"/>
        <v>0</v>
      </c>
    </row>
    <row r="39" spans="1:11" ht="13.5">
      <c r="A39" s="15"/>
      <c r="B39" s="10"/>
      <c r="C39" s="22" t="s">
        <v>33</v>
      </c>
      <c r="D39" s="11"/>
      <c r="E39" s="12"/>
      <c r="F39" s="13"/>
      <c r="G39" s="13"/>
      <c r="H39" s="14">
        <f t="shared" si="1"/>
      </c>
      <c r="J39" s="27">
        <f>IF('１月'!J39="","",'１月'!J39)</f>
      </c>
      <c r="K39" s="28">
        <f t="shared" si="3"/>
        <v>0</v>
      </c>
    </row>
    <row r="40" spans="1:11" ht="13.5">
      <c r="A40" s="15"/>
      <c r="B40" s="10"/>
      <c r="C40" s="22" t="s">
        <v>33</v>
      </c>
      <c r="D40" s="11"/>
      <c r="E40" s="12"/>
      <c r="F40" s="13"/>
      <c r="G40" s="13"/>
      <c r="H40" s="14">
        <f t="shared" si="1"/>
      </c>
      <c r="J40" s="27">
        <f>IF('１月'!J40="","",'１月'!J40)</f>
      </c>
      <c r="K40" s="28">
        <f t="shared" si="3"/>
        <v>0</v>
      </c>
    </row>
    <row r="41" spans="1:11" ht="13.5">
      <c r="A41" s="15"/>
      <c r="B41" s="10"/>
      <c r="C41" s="22" t="s">
        <v>33</v>
      </c>
      <c r="D41" s="11"/>
      <c r="E41" s="12"/>
      <c r="F41" s="13"/>
      <c r="G41" s="13"/>
      <c r="H41" s="14">
        <f t="shared" si="1"/>
      </c>
      <c r="J41" s="27">
        <f>IF('１月'!J41="","",'１月'!J41)</f>
      </c>
      <c r="K41" s="28">
        <f t="shared" si="3"/>
        <v>0</v>
      </c>
    </row>
    <row r="42" spans="1:11" ht="13.5">
      <c r="A42" s="15"/>
      <c r="B42" s="10"/>
      <c r="C42" s="22" t="s">
        <v>33</v>
      </c>
      <c r="D42" s="11"/>
      <c r="E42" s="12"/>
      <c r="F42" s="13"/>
      <c r="G42" s="13"/>
      <c r="H42" s="14">
        <f t="shared" si="1"/>
      </c>
      <c r="J42" s="27">
        <f>IF('１月'!J42="","",'１月'!J42)</f>
      </c>
      <c r="K42" s="28">
        <f t="shared" si="3"/>
        <v>0</v>
      </c>
    </row>
    <row r="43" spans="1:11" ht="13.5">
      <c r="A43" s="15"/>
      <c r="B43" s="10"/>
      <c r="C43" s="22" t="s">
        <v>33</v>
      </c>
      <c r="D43" s="11"/>
      <c r="E43" s="12"/>
      <c r="F43" s="13"/>
      <c r="G43" s="13"/>
      <c r="H43" s="14">
        <f t="shared" si="1"/>
      </c>
      <c r="J43" s="27">
        <f>IF('１月'!J43="","",'１月'!J43)</f>
      </c>
      <c r="K43" s="28">
        <f t="shared" si="3"/>
        <v>0</v>
      </c>
    </row>
    <row r="44" spans="1:11" ht="13.5">
      <c r="A44" s="15"/>
      <c r="B44" s="10"/>
      <c r="C44" s="22" t="s">
        <v>33</v>
      </c>
      <c r="D44" s="11"/>
      <c r="E44" s="12"/>
      <c r="F44" s="13"/>
      <c r="G44" s="13"/>
      <c r="H44" s="14">
        <f t="shared" si="1"/>
      </c>
      <c r="J44" s="27">
        <f>IF('１月'!J44="","",'１月'!J44)</f>
      </c>
      <c r="K44" s="28">
        <f t="shared" si="3"/>
        <v>0</v>
      </c>
    </row>
    <row r="45" spans="1:11" ht="13.5">
      <c r="A45" s="15"/>
      <c r="B45" s="10"/>
      <c r="C45" s="22" t="s">
        <v>33</v>
      </c>
      <c r="D45" s="11"/>
      <c r="E45" s="12"/>
      <c r="F45" s="13"/>
      <c r="G45" s="13"/>
      <c r="H45" s="14">
        <f t="shared" si="1"/>
      </c>
      <c r="J45" s="27">
        <f>IF('１月'!J45="","",'１月'!J45)</f>
      </c>
      <c r="K45" s="28">
        <f t="shared" si="3"/>
        <v>0</v>
      </c>
    </row>
    <row r="46" spans="1:11" ht="13.5">
      <c r="A46" s="15"/>
      <c r="B46" s="10"/>
      <c r="C46" s="22" t="s">
        <v>33</v>
      </c>
      <c r="D46" s="11"/>
      <c r="E46" s="12"/>
      <c r="F46" s="13"/>
      <c r="G46" s="13"/>
      <c r="H46" s="14">
        <f t="shared" si="1"/>
      </c>
      <c r="J46" s="27">
        <f>IF('１月'!J46="","",'１月'!J46)</f>
      </c>
      <c r="K46" s="28">
        <f t="shared" si="3"/>
        <v>0</v>
      </c>
    </row>
    <row r="47" spans="1:8" ht="13.5">
      <c r="A47" s="15"/>
      <c r="B47" s="10"/>
      <c r="C47" s="22" t="s">
        <v>33</v>
      </c>
      <c r="D47" s="11"/>
      <c r="E47" s="12"/>
      <c r="F47" s="13"/>
      <c r="G47" s="13"/>
      <c r="H47" s="14">
        <f t="shared" si="1"/>
      </c>
    </row>
    <row r="48" spans="1:8" ht="13.5">
      <c r="A48" s="15"/>
      <c r="B48" s="10"/>
      <c r="C48" s="22" t="s">
        <v>33</v>
      </c>
      <c r="D48" s="11"/>
      <c r="E48" s="12"/>
      <c r="F48" s="13"/>
      <c r="G48" s="13"/>
      <c r="H48" s="14">
        <f t="shared" si="1"/>
      </c>
    </row>
    <row r="49" spans="1:8" ht="13.5">
      <c r="A49" s="15"/>
      <c r="B49" s="10"/>
      <c r="C49" s="22" t="s">
        <v>33</v>
      </c>
      <c r="D49" s="11"/>
      <c r="E49" s="12"/>
      <c r="F49" s="13"/>
      <c r="G49" s="13"/>
      <c r="H49" s="14">
        <f t="shared" si="1"/>
      </c>
    </row>
    <row r="50" spans="1:8" ht="13.5">
      <c r="A50" s="15"/>
      <c r="B50" s="10"/>
      <c r="C50" s="22" t="s">
        <v>33</v>
      </c>
      <c r="D50" s="11"/>
      <c r="E50" s="12"/>
      <c r="F50" s="13"/>
      <c r="G50" s="13"/>
      <c r="H50" s="14">
        <f t="shared" si="1"/>
      </c>
    </row>
    <row r="51" spans="1:8" ht="13.5">
      <c r="A51" s="15"/>
      <c r="B51" s="10"/>
      <c r="C51" s="22" t="s">
        <v>33</v>
      </c>
      <c r="D51" s="11"/>
      <c r="E51" s="12"/>
      <c r="F51" s="13"/>
      <c r="G51" s="13"/>
      <c r="H51" s="14">
        <f t="shared" si="1"/>
      </c>
    </row>
    <row r="52" spans="1:8" ht="13.5">
      <c r="A52" s="15"/>
      <c r="B52" s="10"/>
      <c r="C52" s="22" t="s">
        <v>33</v>
      </c>
      <c r="D52" s="11"/>
      <c r="E52" s="12"/>
      <c r="F52" s="13"/>
      <c r="G52" s="13"/>
      <c r="H52" s="14">
        <f t="shared" si="1"/>
      </c>
    </row>
    <row r="53" spans="1:8" ht="13.5">
      <c r="A53" s="15"/>
      <c r="B53" s="10"/>
      <c r="C53" s="22" t="s">
        <v>33</v>
      </c>
      <c r="D53" s="11"/>
      <c r="E53" s="12"/>
      <c r="F53" s="13"/>
      <c r="G53" s="13"/>
      <c r="H53" s="14">
        <f t="shared" si="1"/>
      </c>
    </row>
    <row r="54" spans="1:8" ht="13.5">
      <c r="A54" s="15"/>
      <c r="B54" s="10"/>
      <c r="C54" s="22" t="s">
        <v>33</v>
      </c>
      <c r="D54" s="11"/>
      <c r="E54" s="12"/>
      <c r="F54" s="13"/>
      <c r="G54" s="13"/>
      <c r="H54" s="14">
        <f t="shared" si="1"/>
      </c>
    </row>
    <row r="55" spans="1:8" ht="13.5">
      <c r="A55" s="15"/>
      <c r="B55" s="10"/>
      <c r="C55" s="22" t="s">
        <v>33</v>
      </c>
      <c r="D55" s="11"/>
      <c r="E55" s="12"/>
      <c r="F55" s="13"/>
      <c r="G55" s="13"/>
      <c r="H55" s="14">
        <f t="shared" si="1"/>
      </c>
    </row>
    <row r="56" spans="1:8" ht="13.5">
      <c r="A56" s="15"/>
      <c r="B56" s="10"/>
      <c r="C56" s="22" t="s">
        <v>33</v>
      </c>
      <c r="D56" s="11"/>
      <c r="E56" s="12"/>
      <c r="F56" s="13"/>
      <c r="G56" s="13"/>
      <c r="H56" s="14">
        <f t="shared" si="1"/>
      </c>
    </row>
    <row r="57" spans="1:8" ht="13.5">
      <c r="A57" s="15"/>
      <c r="B57" s="10"/>
      <c r="C57" s="22" t="s">
        <v>33</v>
      </c>
      <c r="D57" s="11"/>
      <c r="E57" s="12"/>
      <c r="F57" s="13"/>
      <c r="G57" s="13"/>
      <c r="H57" s="14">
        <f t="shared" si="1"/>
      </c>
    </row>
    <row r="58" spans="1:8" ht="13.5">
      <c r="A58" s="15"/>
      <c r="B58" s="10"/>
      <c r="C58" s="22" t="s">
        <v>33</v>
      </c>
      <c r="D58" s="11"/>
      <c r="E58" s="12"/>
      <c r="F58" s="13"/>
      <c r="G58" s="13"/>
      <c r="H58" s="14">
        <f t="shared" si="1"/>
      </c>
    </row>
    <row r="59" spans="1:8" ht="13.5">
      <c r="A59" s="15"/>
      <c r="B59" s="10"/>
      <c r="C59" s="22" t="s">
        <v>33</v>
      </c>
      <c r="D59" s="11"/>
      <c r="E59" s="12"/>
      <c r="F59" s="13"/>
      <c r="G59" s="13"/>
      <c r="H59" s="14">
        <f t="shared" si="1"/>
      </c>
    </row>
    <row r="60" spans="1:8" ht="13.5">
      <c r="A60" s="15"/>
      <c r="B60" s="10"/>
      <c r="C60" s="22" t="s">
        <v>33</v>
      </c>
      <c r="D60" s="11"/>
      <c r="E60" s="12"/>
      <c r="F60" s="13"/>
      <c r="G60" s="13"/>
      <c r="H60" s="14">
        <f t="shared" si="1"/>
      </c>
    </row>
    <row r="61" spans="1:8" ht="13.5">
      <c r="A61" s="15"/>
      <c r="B61" s="10"/>
      <c r="C61" s="22" t="s">
        <v>33</v>
      </c>
      <c r="D61" s="11"/>
      <c r="E61" s="12"/>
      <c r="F61" s="13"/>
      <c r="G61" s="13"/>
      <c r="H61" s="14">
        <f t="shared" si="1"/>
      </c>
    </row>
    <row r="62" spans="1:8" ht="13.5">
      <c r="A62" s="15"/>
      <c r="B62" s="10"/>
      <c r="C62" s="22" t="s">
        <v>33</v>
      </c>
      <c r="D62" s="11"/>
      <c r="E62" s="12"/>
      <c r="F62" s="13"/>
      <c r="G62" s="13"/>
      <c r="H62" s="14">
        <f t="shared" si="1"/>
      </c>
    </row>
    <row r="63" spans="1:8" ht="13.5">
      <c r="A63" s="15"/>
      <c r="B63" s="10"/>
      <c r="C63" s="22" t="s">
        <v>33</v>
      </c>
      <c r="D63" s="11"/>
      <c r="E63" s="12"/>
      <c r="F63" s="13"/>
      <c r="G63" s="13"/>
      <c r="H63" s="14">
        <f t="shared" si="1"/>
      </c>
    </row>
    <row r="64" spans="1:8" ht="13.5">
      <c r="A64" s="15"/>
      <c r="B64" s="10"/>
      <c r="C64" s="22" t="s">
        <v>33</v>
      </c>
      <c r="D64" s="11"/>
      <c r="E64" s="12"/>
      <c r="F64" s="13"/>
      <c r="G64" s="13"/>
      <c r="H64" s="14">
        <f t="shared" si="1"/>
      </c>
    </row>
    <row r="65" spans="1:8" ht="13.5">
      <c r="A65" s="15"/>
      <c r="B65" s="10"/>
      <c r="C65" s="22" t="s">
        <v>33</v>
      </c>
      <c r="D65" s="11"/>
      <c r="E65" s="12"/>
      <c r="F65" s="13"/>
      <c r="G65" s="13"/>
      <c r="H65" s="14">
        <f t="shared" si="1"/>
      </c>
    </row>
    <row r="66" spans="1:8" ht="13.5">
      <c r="A66" s="15"/>
      <c r="B66" s="10"/>
      <c r="C66" s="22" t="s">
        <v>33</v>
      </c>
      <c r="D66" s="11"/>
      <c r="E66" s="12"/>
      <c r="F66" s="13"/>
      <c r="G66" s="13"/>
      <c r="H66" s="14">
        <f t="shared" si="1"/>
      </c>
    </row>
    <row r="67" spans="1:8" ht="13.5">
      <c r="A67" s="15"/>
      <c r="B67" s="10"/>
      <c r="C67" s="22" t="s">
        <v>33</v>
      </c>
      <c r="D67" s="11"/>
      <c r="E67" s="12"/>
      <c r="F67" s="13"/>
      <c r="G67" s="13"/>
      <c r="H67" s="14">
        <f t="shared" si="1"/>
      </c>
    </row>
    <row r="68" spans="1:8" ht="13.5">
      <c r="A68" s="15"/>
      <c r="B68" s="10"/>
      <c r="C68" s="22" t="s">
        <v>33</v>
      </c>
      <c r="D68" s="11"/>
      <c r="E68" s="12"/>
      <c r="F68" s="13"/>
      <c r="G68" s="13"/>
      <c r="H68" s="14">
        <f t="shared" si="1"/>
      </c>
    </row>
    <row r="69" spans="1:8" ht="13.5">
      <c r="A69" s="15"/>
      <c r="B69" s="10"/>
      <c r="C69" s="22" t="s">
        <v>33</v>
      </c>
      <c r="D69" s="11"/>
      <c r="E69" s="12"/>
      <c r="F69" s="13"/>
      <c r="G69" s="13"/>
      <c r="H69" s="14">
        <f t="shared" si="1"/>
      </c>
    </row>
    <row r="70" spans="1:8" ht="13.5">
      <c r="A70" s="15"/>
      <c r="B70" s="10"/>
      <c r="C70" s="22" t="s">
        <v>33</v>
      </c>
      <c r="D70" s="11"/>
      <c r="E70" s="12"/>
      <c r="F70" s="13"/>
      <c r="G70" s="13"/>
      <c r="H70" s="14">
        <f aca="true" t="shared" si="4" ref="H70:H91">IF(OR(H69="",AND(F70="",G70="")),"",H69+F70-G70)</f>
      </c>
    </row>
    <row r="71" spans="1:8" ht="13.5">
      <c r="A71" s="15"/>
      <c r="B71" s="10"/>
      <c r="C71" s="22" t="s">
        <v>33</v>
      </c>
      <c r="D71" s="11"/>
      <c r="E71" s="12"/>
      <c r="F71" s="13"/>
      <c r="G71" s="13"/>
      <c r="H71" s="14">
        <f t="shared" si="4"/>
      </c>
    </row>
    <row r="72" spans="1:8" ht="13.5">
      <c r="A72" s="15"/>
      <c r="B72" s="10"/>
      <c r="C72" s="22" t="s">
        <v>33</v>
      </c>
      <c r="D72" s="11"/>
      <c r="E72" s="12"/>
      <c r="F72" s="13"/>
      <c r="G72" s="13"/>
      <c r="H72" s="14">
        <f t="shared" si="4"/>
      </c>
    </row>
    <row r="73" spans="1:8" ht="13.5">
      <c r="A73" s="15"/>
      <c r="B73" s="10"/>
      <c r="C73" s="22" t="s">
        <v>33</v>
      </c>
      <c r="D73" s="11"/>
      <c r="E73" s="12"/>
      <c r="F73" s="13"/>
      <c r="G73" s="13"/>
      <c r="H73" s="14">
        <f t="shared" si="4"/>
      </c>
    </row>
    <row r="74" spans="1:8" ht="13.5">
      <c r="A74" s="15"/>
      <c r="B74" s="10"/>
      <c r="C74" s="22" t="s">
        <v>33</v>
      </c>
      <c r="D74" s="11"/>
      <c r="E74" s="12"/>
      <c r="F74" s="13"/>
      <c r="G74" s="13"/>
      <c r="H74" s="14">
        <f t="shared" si="4"/>
      </c>
    </row>
    <row r="75" spans="1:8" ht="13.5">
      <c r="A75" s="15"/>
      <c r="B75" s="10"/>
      <c r="C75" s="22" t="s">
        <v>33</v>
      </c>
      <c r="D75" s="11"/>
      <c r="E75" s="12"/>
      <c r="F75" s="13"/>
      <c r="G75" s="13"/>
      <c r="H75" s="14">
        <f t="shared" si="4"/>
      </c>
    </row>
    <row r="76" spans="1:8" ht="13.5">
      <c r="A76" s="15"/>
      <c r="B76" s="10"/>
      <c r="C76" s="22" t="s">
        <v>33</v>
      </c>
      <c r="D76" s="11"/>
      <c r="E76" s="12"/>
      <c r="F76" s="13"/>
      <c r="G76" s="13"/>
      <c r="H76" s="14">
        <f t="shared" si="4"/>
      </c>
    </row>
    <row r="77" spans="1:8" ht="13.5">
      <c r="A77" s="15"/>
      <c r="B77" s="10"/>
      <c r="C77" s="22" t="s">
        <v>33</v>
      </c>
      <c r="D77" s="11"/>
      <c r="E77" s="12"/>
      <c r="F77" s="13"/>
      <c r="G77" s="13"/>
      <c r="H77" s="14">
        <f t="shared" si="4"/>
      </c>
    </row>
    <row r="78" spans="1:8" ht="13.5">
      <c r="A78" s="15"/>
      <c r="B78" s="10"/>
      <c r="C78" s="22" t="s">
        <v>33</v>
      </c>
      <c r="D78" s="11"/>
      <c r="E78" s="12"/>
      <c r="F78" s="13"/>
      <c r="G78" s="13"/>
      <c r="H78" s="14">
        <f t="shared" si="4"/>
      </c>
    </row>
    <row r="79" spans="1:8" ht="13.5">
      <c r="A79" s="15"/>
      <c r="B79" s="10"/>
      <c r="C79" s="22" t="s">
        <v>33</v>
      </c>
      <c r="D79" s="11"/>
      <c r="E79" s="12"/>
      <c r="F79" s="13"/>
      <c r="G79" s="13"/>
      <c r="H79" s="14">
        <f t="shared" si="4"/>
      </c>
    </row>
    <row r="80" spans="1:8" ht="13.5">
      <c r="A80" s="15"/>
      <c r="B80" s="10"/>
      <c r="C80" s="22" t="s">
        <v>33</v>
      </c>
      <c r="D80" s="11"/>
      <c r="E80" s="12"/>
      <c r="F80" s="13"/>
      <c r="G80" s="13"/>
      <c r="H80" s="14">
        <f t="shared" si="4"/>
      </c>
    </row>
    <row r="81" spans="1:8" ht="13.5">
      <c r="A81" s="15"/>
      <c r="B81" s="10"/>
      <c r="C81" s="22" t="s">
        <v>33</v>
      </c>
      <c r="D81" s="11"/>
      <c r="E81" s="12"/>
      <c r="F81" s="13"/>
      <c r="G81" s="13"/>
      <c r="H81" s="14">
        <f t="shared" si="4"/>
      </c>
    </row>
    <row r="82" spans="1:8" ht="13.5">
      <c r="A82" s="15"/>
      <c r="B82" s="10"/>
      <c r="C82" s="22" t="s">
        <v>33</v>
      </c>
      <c r="D82" s="11"/>
      <c r="E82" s="12"/>
      <c r="F82" s="13"/>
      <c r="G82" s="13"/>
      <c r="H82" s="14">
        <f t="shared" si="4"/>
      </c>
    </row>
    <row r="83" spans="1:8" ht="13.5">
      <c r="A83" s="15"/>
      <c r="B83" s="10"/>
      <c r="C83" s="22" t="s">
        <v>33</v>
      </c>
      <c r="D83" s="11"/>
      <c r="E83" s="12"/>
      <c r="F83" s="13"/>
      <c r="G83" s="13"/>
      <c r="H83" s="14">
        <f t="shared" si="4"/>
      </c>
    </row>
    <row r="84" spans="1:8" ht="13.5">
      <c r="A84" s="15"/>
      <c r="B84" s="10"/>
      <c r="C84" s="22" t="s">
        <v>33</v>
      </c>
      <c r="D84" s="11"/>
      <c r="E84" s="12"/>
      <c r="F84" s="13"/>
      <c r="G84" s="13"/>
      <c r="H84" s="14">
        <f t="shared" si="4"/>
      </c>
    </row>
    <row r="85" spans="1:8" ht="13.5">
      <c r="A85" s="15"/>
      <c r="B85" s="10"/>
      <c r="C85" s="22" t="s">
        <v>33</v>
      </c>
      <c r="D85" s="11"/>
      <c r="E85" s="12"/>
      <c r="F85" s="13"/>
      <c r="G85" s="13"/>
      <c r="H85" s="14">
        <f t="shared" si="4"/>
      </c>
    </row>
    <row r="86" spans="1:8" ht="13.5">
      <c r="A86" s="15"/>
      <c r="B86" s="10"/>
      <c r="C86" s="22" t="s">
        <v>33</v>
      </c>
      <c r="D86" s="11"/>
      <c r="E86" s="12"/>
      <c r="F86" s="13"/>
      <c r="G86" s="13"/>
      <c r="H86" s="14">
        <f t="shared" si="4"/>
      </c>
    </row>
    <row r="87" spans="1:8" ht="13.5">
      <c r="A87" s="15"/>
      <c r="B87" s="10"/>
      <c r="C87" s="22" t="s">
        <v>33</v>
      </c>
      <c r="D87" s="11"/>
      <c r="E87" s="12"/>
      <c r="F87" s="13"/>
      <c r="G87" s="13"/>
      <c r="H87" s="14">
        <f t="shared" si="4"/>
      </c>
    </row>
    <row r="88" spans="1:8" ht="13.5">
      <c r="A88" s="15"/>
      <c r="B88" s="10"/>
      <c r="C88" s="22" t="s">
        <v>33</v>
      </c>
      <c r="D88" s="11"/>
      <c r="E88" s="12"/>
      <c r="F88" s="13"/>
      <c r="G88" s="13"/>
      <c r="H88" s="14">
        <f t="shared" si="4"/>
      </c>
    </row>
    <row r="89" spans="1:8" ht="13.5">
      <c r="A89" s="15"/>
      <c r="B89" s="10"/>
      <c r="C89" s="22" t="s">
        <v>33</v>
      </c>
      <c r="D89" s="11"/>
      <c r="E89" s="12"/>
      <c r="F89" s="13"/>
      <c r="G89" s="13"/>
      <c r="H89" s="14">
        <f t="shared" si="4"/>
      </c>
    </row>
    <row r="90" spans="1:8" ht="13.5">
      <c r="A90" s="15"/>
      <c r="B90" s="10"/>
      <c r="C90" s="22" t="s">
        <v>33</v>
      </c>
      <c r="D90" s="11"/>
      <c r="E90" s="12"/>
      <c r="F90" s="13"/>
      <c r="G90" s="13"/>
      <c r="H90" s="14">
        <f t="shared" si="4"/>
      </c>
    </row>
    <row r="91" spans="1:8" ht="14.25" thickBot="1">
      <c r="A91" s="15"/>
      <c r="B91" s="10"/>
      <c r="C91" s="22" t="s">
        <v>33</v>
      </c>
      <c r="D91" s="11"/>
      <c r="E91" s="12"/>
      <c r="F91" s="13"/>
      <c r="G91" s="13"/>
      <c r="H91" s="14">
        <f t="shared" si="4"/>
      </c>
    </row>
    <row r="92" spans="1:8" ht="14.25" thickBot="1">
      <c r="A92" s="15"/>
      <c r="B92" s="17"/>
      <c r="C92" s="18"/>
      <c r="D92" s="18"/>
      <c r="E92" s="19" t="s">
        <v>8</v>
      </c>
      <c r="F92" s="20"/>
      <c r="G92" s="20"/>
      <c r="H92" s="21">
        <f>IF(AND(SUM(F5:F91)=0,SUM(G5:G91)=0),"",SUM(F5:F91)-SUM(G5:G91)+H4)</f>
      </c>
    </row>
  </sheetData>
  <sheetProtection/>
  <mergeCells count="1">
    <mergeCell ref="B1:C1"/>
  </mergeCells>
  <dataValidations count="2">
    <dataValidation type="list" allowBlank="1" showInputMessage="1" showErrorMessage="1" sqref="C5:C91">
      <formula1>$J$3:$J$32</formula1>
    </dataValidation>
    <dataValidation type="list" allowBlank="1" showInputMessage="1" showErrorMessage="1" sqref="D5:D91">
      <formula1>$J$37:$J$46</formula1>
    </dataValidation>
  </dataValidations>
  <printOptions/>
  <pageMargins left="0.75" right="0.75" top="1" bottom="1" header="0.512" footer="0.512"/>
  <pageSetup orientation="portrait" paperSize="9"/>
  <ignoredErrors>
    <ignoredError sqref="K5" formula="1"/>
  </ignoredErrors>
  <legacyDrawing r:id="rId2"/>
</worksheet>
</file>

<file path=xl/worksheets/sheet13.xml><?xml version="1.0" encoding="utf-8"?>
<worksheet xmlns="http://schemas.openxmlformats.org/spreadsheetml/2006/main" xmlns:r="http://schemas.openxmlformats.org/officeDocument/2006/relationships">
  <dimension ref="B2:O46"/>
  <sheetViews>
    <sheetView zoomScalePageLayoutView="0" workbookViewId="0" topLeftCell="A1">
      <selection activeCell="B24" sqref="B24"/>
    </sheetView>
  </sheetViews>
  <sheetFormatPr defaultColWidth="9.00390625" defaultRowHeight="13.5"/>
  <cols>
    <col min="2" max="2" width="12.75390625" style="0" bestFit="1" customWidth="1"/>
  </cols>
  <sheetData>
    <row r="2" spans="2:15" ht="13.5">
      <c r="B2" s="27"/>
      <c r="C2" s="27" t="s">
        <v>73</v>
      </c>
      <c r="D2" s="30" t="s">
        <v>54</v>
      </c>
      <c r="E2" s="30" t="s">
        <v>55</v>
      </c>
      <c r="F2" s="30" t="s">
        <v>56</v>
      </c>
      <c r="G2" s="30" t="s">
        <v>57</v>
      </c>
      <c r="H2" s="30" t="s">
        <v>58</v>
      </c>
      <c r="I2" s="30" t="s">
        <v>59</v>
      </c>
      <c r="J2" s="30" t="s">
        <v>60</v>
      </c>
      <c r="K2" s="30" t="s">
        <v>61</v>
      </c>
      <c r="L2" s="30" t="s">
        <v>62</v>
      </c>
      <c r="M2" s="30" t="s">
        <v>63</v>
      </c>
      <c r="N2" s="30" t="s">
        <v>64</v>
      </c>
      <c r="O2" s="30" t="s">
        <v>65</v>
      </c>
    </row>
    <row r="3" spans="2:15" ht="13.5">
      <c r="B3" s="27" t="str">
        <f>IF('１月'!J3="","",'１月'!J3)</f>
        <v>売上</v>
      </c>
      <c r="C3" s="34">
        <f>SUM(D3:O3)</f>
        <v>0</v>
      </c>
      <c r="D3" s="33">
        <f>'１月'!K3</f>
        <v>0</v>
      </c>
      <c r="E3" s="33">
        <f>'２月'!K3</f>
        <v>0</v>
      </c>
      <c r="F3" s="33">
        <f>'３月'!K3</f>
        <v>0</v>
      </c>
      <c r="G3" s="33">
        <f>'４月'!K3</f>
        <v>0</v>
      </c>
      <c r="H3" s="33">
        <f>'５月'!K3</f>
        <v>0</v>
      </c>
      <c r="I3" s="33">
        <f>'６月'!K3</f>
        <v>0</v>
      </c>
      <c r="J3" s="33">
        <f>'７月'!K3</f>
        <v>0</v>
      </c>
      <c r="K3" s="33">
        <f>'８月'!K3</f>
        <v>0</v>
      </c>
      <c r="L3" s="33">
        <f>'９月'!K3</f>
        <v>0</v>
      </c>
      <c r="M3" s="33">
        <f>'１０月'!K3</f>
        <v>0</v>
      </c>
      <c r="N3" s="33">
        <f>'１１月'!K3</f>
        <v>0</v>
      </c>
      <c r="O3" s="33">
        <f>'１２月'!K3</f>
        <v>0</v>
      </c>
    </row>
    <row r="4" spans="2:15" ht="13.5">
      <c r="B4" s="27" t="str">
        <f>IF('１月'!J4="","",'１月'!J4)</f>
        <v>仕入</v>
      </c>
      <c r="C4" s="34">
        <f aca="true" t="shared" si="0" ref="C4:C32">SUM(D4:O4)</f>
        <v>0</v>
      </c>
      <c r="D4" s="28">
        <f>'１月'!K4</f>
        <v>0</v>
      </c>
      <c r="E4" s="28">
        <f>'２月'!K4</f>
        <v>0</v>
      </c>
      <c r="F4" s="28">
        <f>'３月'!K4</f>
        <v>0</v>
      </c>
      <c r="G4" s="28">
        <f>'４月'!K4</f>
        <v>0</v>
      </c>
      <c r="H4" s="28">
        <f>'５月'!K4</f>
        <v>0</v>
      </c>
      <c r="I4" s="28">
        <f>'６月'!K4</f>
        <v>0</v>
      </c>
      <c r="J4" s="28">
        <f>'７月'!K4</f>
        <v>0</v>
      </c>
      <c r="K4" s="28">
        <f>'８月'!K4</f>
        <v>0</v>
      </c>
      <c r="L4" s="28">
        <f>'９月'!K4</f>
        <v>0</v>
      </c>
      <c r="M4" s="28">
        <f>'１０月'!K4</f>
        <v>0</v>
      </c>
      <c r="N4" s="28">
        <f>'１１月'!K4</f>
        <v>0</v>
      </c>
      <c r="O4" s="28">
        <f>'１２月'!K4</f>
        <v>0</v>
      </c>
    </row>
    <row r="5" spans="2:15" ht="13.5">
      <c r="B5" s="27" t="str">
        <f>IF('１月'!J5="","",'１月'!J5)</f>
        <v>製造原価</v>
      </c>
      <c r="C5" s="34">
        <f t="shared" si="0"/>
        <v>0</v>
      </c>
      <c r="D5" s="28">
        <f>'１月'!K5</f>
        <v>0</v>
      </c>
      <c r="E5" s="28">
        <f>'２月'!K5</f>
        <v>0</v>
      </c>
      <c r="F5" s="28">
        <f>'３月'!K5</f>
        <v>0</v>
      </c>
      <c r="G5" s="28">
        <f>'４月'!K5</f>
        <v>0</v>
      </c>
      <c r="H5" s="28">
        <f>'５月'!K5</f>
        <v>0</v>
      </c>
      <c r="I5" s="28">
        <f>'６月'!K5</f>
        <v>0</v>
      </c>
      <c r="J5" s="28">
        <f>'７月'!K5</f>
        <v>0</v>
      </c>
      <c r="K5" s="28">
        <f>'８月'!K5</f>
        <v>0</v>
      </c>
      <c r="L5" s="28">
        <f>'９月'!K5</f>
        <v>0</v>
      </c>
      <c r="M5" s="28">
        <f>'１０月'!K5</f>
        <v>0</v>
      </c>
      <c r="N5" s="28">
        <f>'１１月'!K5</f>
        <v>0</v>
      </c>
      <c r="O5" s="28">
        <f>'１２月'!K5</f>
        <v>0</v>
      </c>
    </row>
    <row r="6" spans="2:15" ht="13.5">
      <c r="B6" s="27" t="str">
        <f>IF('１月'!J6="","",'１月'!J6)</f>
        <v>租税公課</v>
      </c>
      <c r="C6" s="34">
        <f t="shared" si="0"/>
        <v>0</v>
      </c>
      <c r="D6" s="28">
        <f>'１月'!K6</f>
        <v>0</v>
      </c>
      <c r="E6" s="28">
        <f>'２月'!K6</f>
        <v>0</v>
      </c>
      <c r="F6" s="28">
        <f>'３月'!K6</f>
        <v>0</v>
      </c>
      <c r="G6" s="28">
        <f>'４月'!K6</f>
        <v>0</v>
      </c>
      <c r="H6" s="28">
        <f>'５月'!K6</f>
        <v>0</v>
      </c>
      <c r="I6" s="28">
        <f>'６月'!K6</f>
        <v>0</v>
      </c>
      <c r="J6" s="28">
        <f>'７月'!K6</f>
        <v>0</v>
      </c>
      <c r="K6" s="28">
        <f>'８月'!K6</f>
        <v>0</v>
      </c>
      <c r="L6" s="28">
        <f>'９月'!K6</f>
        <v>0</v>
      </c>
      <c r="M6" s="28">
        <f>'１０月'!K6</f>
        <v>0</v>
      </c>
      <c r="N6" s="28">
        <f>'１１月'!K6</f>
        <v>0</v>
      </c>
      <c r="O6" s="28">
        <f>'１２月'!K6</f>
        <v>0</v>
      </c>
    </row>
    <row r="7" spans="2:15" ht="13.5">
      <c r="B7" s="27" t="str">
        <f>IF('１月'!J7="","",'１月'!J7)</f>
        <v>荷造運賃</v>
      </c>
      <c r="C7" s="34">
        <f t="shared" si="0"/>
        <v>0</v>
      </c>
      <c r="D7" s="28">
        <f>'１月'!K7</f>
        <v>0</v>
      </c>
      <c r="E7" s="28">
        <f>'２月'!K7</f>
        <v>0</v>
      </c>
      <c r="F7" s="28">
        <f>'３月'!K7</f>
        <v>0</v>
      </c>
      <c r="G7" s="28">
        <f>'４月'!K7</f>
        <v>0</v>
      </c>
      <c r="H7" s="28">
        <f>'５月'!K7</f>
        <v>0</v>
      </c>
      <c r="I7" s="28">
        <f>'６月'!K7</f>
        <v>0</v>
      </c>
      <c r="J7" s="28">
        <f>'７月'!K7</f>
        <v>0</v>
      </c>
      <c r="K7" s="28">
        <f>'８月'!K7</f>
        <v>0</v>
      </c>
      <c r="L7" s="28">
        <f>'９月'!K7</f>
        <v>0</v>
      </c>
      <c r="M7" s="28">
        <f>'１０月'!K7</f>
        <v>0</v>
      </c>
      <c r="N7" s="28">
        <f>'１１月'!K7</f>
        <v>0</v>
      </c>
      <c r="O7" s="28">
        <f>'１２月'!K7</f>
        <v>0</v>
      </c>
    </row>
    <row r="8" spans="2:15" ht="13.5">
      <c r="B8" s="27" t="str">
        <f>IF('１月'!J8="","",'１月'!J8)</f>
        <v>水道光熱費</v>
      </c>
      <c r="C8" s="34">
        <f t="shared" si="0"/>
        <v>0</v>
      </c>
      <c r="D8" s="28">
        <f>'１月'!K8</f>
        <v>0</v>
      </c>
      <c r="E8" s="28">
        <f>'２月'!K8</f>
        <v>0</v>
      </c>
      <c r="F8" s="28">
        <f>'３月'!K8</f>
        <v>0</v>
      </c>
      <c r="G8" s="28">
        <f>'４月'!K8</f>
        <v>0</v>
      </c>
      <c r="H8" s="28">
        <f>'５月'!K8</f>
        <v>0</v>
      </c>
      <c r="I8" s="28">
        <f>'６月'!K8</f>
        <v>0</v>
      </c>
      <c r="J8" s="28">
        <f>'７月'!K8</f>
        <v>0</v>
      </c>
      <c r="K8" s="28">
        <f>'８月'!K8</f>
        <v>0</v>
      </c>
      <c r="L8" s="28">
        <f>'９月'!K8</f>
        <v>0</v>
      </c>
      <c r="M8" s="28">
        <f>'１０月'!K8</f>
        <v>0</v>
      </c>
      <c r="N8" s="28">
        <f>'１１月'!K8</f>
        <v>0</v>
      </c>
      <c r="O8" s="28">
        <f>'１２月'!K8</f>
        <v>0</v>
      </c>
    </row>
    <row r="9" spans="2:15" ht="13.5">
      <c r="B9" s="27" t="str">
        <f>IF('１月'!J9="","",'１月'!J9)</f>
        <v>旅費交通費</v>
      </c>
      <c r="C9" s="34">
        <f t="shared" si="0"/>
        <v>0</v>
      </c>
      <c r="D9" s="28">
        <f>'１月'!K9</f>
        <v>0</v>
      </c>
      <c r="E9" s="28">
        <f>'２月'!K9</f>
        <v>0</v>
      </c>
      <c r="F9" s="28">
        <f>'３月'!K9</f>
        <v>0</v>
      </c>
      <c r="G9" s="28">
        <f>'４月'!K9</f>
        <v>0</v>
      </c>
      <c r="H9" s="28">
        <f>'５月'!K9</f>
        <v>0</v>
      </c>
      <c r="I9" s="28">
        <f>'６月'!K9</f>
        <v>0</v>
      </c>
      <c r="J9" s="28">
        <f>'７月'!K9</f>
        <v>0</v>
      </c>
      <c r="K9" s="28">
        <f>'８月'!K9</f>
        <v>0</v>
      </c>
      <c r="L9" s="28">
        <f>'９月'!K9</f>
        <v>0</v>
      </c>
      <c r="M9" s="28">
        <f>'１０月'!K9</f>
        <v>0</v>
      </c>
      <c r="N9" s="28">
        <f>'１１月'!K9</f>
        <v>0</v>
      </c>
      <c r="O9" s="28">
        <f>'１２月'!K9</f>
        <v>0</v>
      </c>
    </row>
    <row r="10" spans="2:15" ht="13.5">
      <c r="B10" s="27" t="str">
        <f>IF('１月'!J10="","",'１月'!J10)</f>
        <v>通信費</v>
      </c>
      <c r="C10" s="34">
        <f t="shared" si="0"/>
        <v>0</v>
      </c>
      <c r="D10" s="28">
        <f>'１月'!K10</f>
        <v>0</v>
      </c>
      <c r="E10" s="28">
        <f>'２月'!K10</f>
        <v>0</v>
      </c>
      <c r="F10" s="28">
        <f>'３月'!K10</f>
        <v>0</v>
      </c>
      <c r="G10" s="28">
        <f>'４月'!K10</f>
        <v>0</v>
      </c>
      <c r="H10" s="28">
        <f>'５月'!K10</f>
        <v>0</v>
      </c>
      <c r="I10" s="28">
        <f>'６月'!K10</f>
        <v>0</v>
      </c>
      <c r="J10" s="28">
        <f>'７月'!K10</f>
        <v>0</v>
      </c>
      <c r="K10" s="28">
        <f>'８月'!K10</f>
        <v>0</v>
      </c>
      <c r="L10" s="28">
        <f>'９月'!K10</f>
        <v>0</v>
      </c>
      <c r="M10" s="28">
        <f>'１０月'!K10</f>
        <v>0</v>
      </c>
      <c r="N10" s="28">
        <f>'１１月'!K10</f>
        <v>0</v>
      </c>
      <c r="O10" s="28">
        <f>'１２月'!K10</f>
        <v>0</v>
      </c>
    </row>
    <row r="11" spans="2:15" ht="13.5">
      <c r="B11" s="27" t="str">
        <f>IF('１月'!J11="","",'１月'!J11)</f>
        <v>広告宣伝費</v>
      </c>
      <c r="C11" s="34">
        <f t="shared" si="0"/>
        <v>0</v>
      </c>
      <c r="D11" s="28">
        <f>'１月'!K11</f>
        <v>0</v>
      </c>
      <c r="E11" s="28">
        <f>'２月'!K11</f>
        <v>0</v>
      </c>
      <c r="F11" s="28">
        <f>'３月'!K11</f>
        <v>0</v>
      </c>
      <c r="G11" s="28">
        <f>'４月'!K11</f>
        <v>0</v>
      </c>
      <c r="H11" s="28">
        <f>'５月'!K11</f>
        <v>0</v>
      </c>
      <c r="I11" s="28">
        <f>'６月'!K11</f>
        <v>0</v>
      </c>
      <c r="J11" s="28">
        <f>'７月'!K11</f>
        <v>0</v>
      </c>
      <c r="K11" s="28">
        <f>'８月'!K11</f>
        <v>0</v>
      </c>
      <c r="L11" s="28">
        <f>'９月'!K11</f>
        <v>0</v>
      </c>
      <c r="M11" s="28">
        <f>'１０月'!K11</f>
        <v>0</v>
      </c>
      <c r="N11" s="28">
        <f>'１１月'!K11</f>
        <v>0</v>
      </c>
      <c r="O11" s="28">
        <f>'１２月'!K11</f>
        <v>0</v>
      </c>
    </row>
    <row r="12" spans="2:15" ht="13.5">
      <c r="B12" s="27" t="str">
        <f>IF('１月'!J12="","",'１月'!J12)</f>
        <v>接待交際費</v>
      </c>
      <c r="C12" s="34">
        <f t="shared" si="0"/>
        <v>0</v>
      </c>
      <c r="D12" s="28">
        <f>'１月'!K12</f>
        <v>0</v>
      </c>
      <c r="E12" s="28">
        <f>'２月'!K12</f>
        <v>0</v>
      </c>
      <c r="F12" s="28">
        <f>'３月'!K12</f>
        <v>0</v>
      </c>
      <c r="G12" s="28">
        <f>'４月'!K12</f>
        <v>0</v>
      </c>
      <c r="H12" s="28">
        <f>'５月'!K12</f>
        <v>0</v>
      </c>
      <c r="I12" s="28">
        <f>'６月'!K12</f>
        <v>0</v>
      </c>
      <c r="J12" s="28">
        <f>'７月'!K12</f>
        <v>0</v>
      </c>
      <c r="K12" s="28">
        <f>'８月'!K12</f>
        <v>0</v>
      </c>
      <c r="L12" s="28">
        <f>'９月'!K12</f>
        <v>0</v>
      </c>
      <c r="M12" s="28">
        <f>'１０月'!K12</f>
        <v>0</v>
      </c>
      <c r="N12" s="28">
        <f>'１１月'!K12</f>
        <v>0</v>
      </c>
      <c r="O12" s="28">
        <f>'１２月'!K12</f>
        <v>0</v>
      </c>
    </row>
    <row r="13" spans="2:15" ht="13.5">
      <c r="B13" s="27" t="str">
        <f>IF('１月'!J13="","",'１月'!J13)</f>
        <v>損害保険料</v>
      </c>
      <c r="C13" s="34">
        <f t="shared" si="0"/>
        <v>0</v>
      </c>
      <c r="D13" s="28">
        <f>'１月'!K13</f>
        <v>0</v>
      </c>
      <c r="E13" s="28">
        <f>'２月'!K13</f>
        <v>0</v>
      </c>
      <c r="F13" s="28">
        <f>'３月'!K13</f>
        <v>0</v>
      </c>
      <c r="G13" s="28">
        <f>'４月'!K13</f>
        <v>0</v>
      </c>
      <c r="H13" s="28">
        <f>'５月'!K13</f>
        <v>0</v>
      </c>
      <c r="I13" s="28">
        <f>'６月'!K13</f>
        <v>0</v>
      </c>
      <c r="J13" s="28">
        <f>'７月'!K13</f>
        <v>0</v>
      </c>
      <c r="K13" s="28">
        <f>'８月'!K13</f>
        <v>0</v>
      </c>
      <c r="L13" s="28">
        <f>'９月'!K13</f>
        <v>0</v>
      </c>
      <c r="M13" s="28">
        <f>'１０月'!K13</f>
        <v>0</v>
      </c>
      <c r="N13" s="28">
        <f>'１１月'!K13</f>
        <v>0</v>
      </c>
      <c r="O13" s="28">
        <f>'１２月'!K13</f>
        <v>0</v>
      </c>
    </row>
    <row r="14" spans="2:15" ht="13.5">
      <c r="B14" s="27" t="str">
        <f>IF('１月'!J14="","",'１月'!J14)</f>
        <v>修繕費</v>
      </c>
      <c r="C14" s="34">
        <f t="shared" si="0"/>
        <v>0</v>
      </c>
      <c r="D14" s="28">
        <f>'１月'!K14</f>
        <v>0</v>
      </c>
      <c r="E14" s="28">
        <f>'２月'!K14</f>
        <v>0</v>
      </c>
      <c r="F14" s="28">
        <f>'３月'!K14</f>
        <v>0</v>
      </c>
      <c r="G14" s="28">
        <f>'４月'!K14</f>
        <v>0</v>
      </c>
      <c r="H14" s="28">
        <f>'５月'!K14</f>
        <v>0</v>
      </c>
      <c r="I14" s="28">
        <f>'６月'!K14</f>
        <v>0</v>
      </c>
      <c r="J14" s="28">
        <f>'７月'!K14</f>
        <v>0</v>
      </c>
      <c r="K14" s="28">
        <f>'８月'!K14</f>
        <v>0</v>
      </c>
      <c r="L14" s="28">
        <f>'９月'!K14</f>
        <v>0</v>
      </c>
      <c r="M14" s="28">
        <f>'１０月'!K14</f>
        <v>0</v>
      </c>
      <c r="N14" s="28">
        <f>'１１月'!K14</f>
        <v>0</v>
      </c>
      <c r="O14" s="28">
        <f>'１２月'!K14</f>
        <v>0</v>
      </c>
    </row>
    <row r="15" spans="2:15" ht="13.5">
      <c r="B15" s="27" t="str">
        <f>IF('１月'!J15="","",'１月'!J15)</f>
        <v>消耗品費</v>
      </c>
      <c r="C15" s="34">
        <f t="shared" si="0"/>
        <v>0</v>
      </c>
      <c r="D15" s="28">
        <f>'１月'!K15</f>
        <v>0</v>
      </c>
      <c r="E15" s="28">
        <f>'２月'!K15</f>
        <v>0</v>
      </c>
      <c r="F15" s="28">
        <f>'３月'!K15</f>
        <v>0</v>
      </c>
      <c r="G15" s="28">
        <f>'４月'!K15</f>
        <v>0</v>
      </c>
      <c r="H15" s="28">
        <f>'５月'!K15</f>
        <v>0</v>
      </c>
      <c r="I15" s="28">
        <f>'６月'!K15</f>
        <v>0</v>
      </c>
      <c r="J15" s="28">
        <f>'７月'!K15</f>
        <v>0</v>
      </c>
      <c r="K15" s="28">
        <f>'８月'!K15</f>
        <v>0</v>
      </c>
      <c r="L15" s="28">
        <f>'９月'!K15</f>
        <v>0</v>
      </c>
      <c r="M15" s="28">
        <f>'１０月'!K15</f>
        <v>0</v>
      </c>
      <c r="N15" s="28">
        <f>'１１月'!K15</f>
        <v>0</v>
      </c>
      <c r="O15" s="28">
        <f>'１２月'!K15</f>
        <v>0</v>
      </c>
    </row>
    <row r="16" spans="2:15" ht="13.5">
      <c r="B16" s="27" t="str">
        <f>IF('１月'!J16="","",'１月'!J16)</f>
        <v>福利厚生費</v>
      </c>
      <c r="C16" s="34">
        <f t="shared" si="0"/>
        <v>0</v>
      </c>
      <c r="D16" s="28">
        <f>'１月'!K16</f>
        <v>0</v>
      </c>
      <c r="E16" s="28">
        <f>'２月'!K16</f>
        <v>0</v>
      </c>
      <c r="F16" s="28">
        <f>'３月'!K16</f>
        <v>0</v>
      </c>
      <c r="G16" s="28">
        <f>'４月'!K16</f>
        <v>0</v>
      </c>
      <c r="H16" s="28">
        <f>'５月'!K16</f>
        <v>0</v>
      </c>
      <c r="I16" s="28">
        <f>'６月'!K16</f>
        <v>0</v>
      </c>
      <c r="J16" s="28">
        <f>'７月'!K16</f>
        <v>0</v>
      </c>
      <c r="K16" s="28">
        <f>'８月'!K16</f>
        <v>0</v>
      </c>
      <c r="L16" s="28">
        <f>'９月'!K16</f>
        <v>0</v>
      </c>
      <c r="M16" s="28">
        <f>'１０月'!K16</f>
        <v>0</v>
      </c>
      <c r="N16" s="28">
        <f>'１１月'!K16</f>
        <v>0</v>
      </c>
      <c r="O16" s="28">
        <f>'１２月'!K16</f>
        <v>0</v>
      </c>
    </row>
    <row r="17" spans="2:15" ht="13.5">
      <c r="B17" s="27" t="str">
        <f>IF('１月'!J17="","",'１月'!J17)</f>
        <v>給与賃金</v>
      </c>
      <c r="C17" s="34">
        <f t="shared" si="0"/>
        <v>0</v>
      </c>
      <c r="D17" s="28">
        <f>'１月'!K17</f>
        <v>0</v>
      </c>
      <c r="E17" s="28">
        <f>'２月'!K17</f>
        <v>0</v>
      </c>
      <c r="F17" s="28">
        <f>'３月'!K17</f>
        <v>0</v>
      </c>
      <c r="G17" s="28">
        <f>'４月'!K17</f>
        <v>0</v>
      </c>
      <c r="H17" s="28">
        <f>'５月'!K17</f>
        <v>0</v>
      </c>
      <c r="I17" s="28">
        <f>'６月'!K17</f>
        <v>0</v>
      </c>
      <c r="J17" s="28">
        <f>'７月'!K17</f>
        <v>0</v>
      </c>
      <c r="K17" s="28">
        <f>'８月'!K17</f>
        <v>0</v>
      </c>
      <c r="L17" s="28">
        <f>'９月'!K17</f>
        <v>0</v>
      </c>
      <c r="M17" s="28">
        <f>'１０月'!K17</f>
        <v>0</v>
      </c>
      <c r="N17" s="28">
        <f>'１１月'!K17</f>
        <v>0</v>
      </c>
      <c r="O17" s="28">
        <f>'１２月'!K17</f>
        <v>0</v>
      </c>
    </row>
    <row r="18" spans="2:15" ht="13.5">
      <c r="B18" s="27" t="str">
        <f>IF('１月'!J18="","",'１月'!J18)</f>
        <v>利子割引料</v>
      </c>
      <c r="C18" s="34">
        <f t="shared" si="0"/>
        <v>0</v>
      </c>
      <c r="D18" s="28">
        <f>'１月'!K18</f>
        <v>0</v>
      </c>
      <c r="E18" s="28">
        <f>'２月'!K18</f>
        <v>0</v>
      </c>
      <c r="F18" s="28">
        <f>'３月'!K18</f>
        <v>0</v>
      </c>
      <c r="G18" s="28">
        <f>'４月'!K18</f>
        <v>0</v>
      </c>
      <c r="H18" s="28">
        <f>'５月'!K18</f>
        <v>0</v>
      </c>
      <c r="I18" s="28">
        <f>'６月'!K18</f>
        <v>0</v>
      </c>
      <c r="J18" s="28">
        <f>'７月'!K18</f>
        <v>0</v>
      </c>
      <c r="K18" s="28">
        <f>'８月'!K18</f>
        <v>0</v>
      </c>
      <c r="L18" s="28">
        <f>'９月'!K18</f>
        <v>0</v>
      </c>
      <c r="M18" s="28">
        <f>'１０月'!K18</f>
        <v>0</v>
      </c>
      <c r="N18" s="28">
        <f>'１１月'!K18</f>
        <v>0</v>
      </c>
      <c r="O18" s="28">
        <f>'１２月'!K18</f>
        <v>0</v>
      </c>
    </row>
    <row r="19" spans="2:15" ht="13.5">
      <c r="B19" s="27" t="str">
        <f>IF('１月'!J19="","",'１月'!J19)</f>
        <v>地代家賃</v>
      </c>
      <c r="C19" s="34">
        <f t="shared" si="0"/>
        <v>0</v>
      </c>
      <c r="D19" s="28">
        <f>'１月'!K19</f>
        <v>0</v>
      </c>
      <c r="E19" s="28">
        <f>'２月'!K19</f>
        <v>0</v>
      </c>
      <c r="F19" s="28">
        <f>'３月'!K19</f>
        <v>0</v>
      </c>
      <c r="G19" s="28">
        <f>'４月'!K19</f>
        <v>0</v>
      </c>
      <c r="H19" s="28">
        <f>'５月'!K19</f>
        <v>0</v>
      </c>
      <c r="I19" s="28">
        <f>'６月'!K19</f>
        <v>0</v>
      </c>
      <c r="J19" s="28">
        <f>'７月'!K19</f>
        <v>0</v>
      </c>
      <c r="K19" s="28">
        <f>'８月'!K19</f>
        <v>0</v>
      </c>
      <c r="L19" s="28">
        <f>'９月'!K19</f>
        <v>0</v>
      </c>
      <c r="M19" s="28">
        <f>'１０月'!K19</f>
        <v>0</v>
      </c>
      <c r="N19" s="28">
        <f>'１１月'!K19</f>
        <v>0</v>
      </c>
      <c r="O19" s="28">
        <f>'１２月'!K19</f>
        <v>0</v>
      </c>
    </row>
    <row r="20" spans="2:15" ht="13.5">
      <c r="B20" s="27" t="str">
        <f>IF('１月'!J20="","",'１月'!J20)</f>
        <v>貸倒金</v>
      </c>
      <c r="C20" s="34">
        <f t="shared" si="0"/>
        <v>0</v>
      </c>
      <c r="D20" s="28">
        <f>'１月'!K20</f>
        <v>0</v>
      </c>
      <c r="E20" s="28">
        <f>'２月'!K20</f>
        <v>0</v>
      </c>
      <c r="F20" s="28">
        <f>'３月'!K20</f>
        <v>0</v>
      </c>
      <c r="G20" s="28">
        <f>'４月'!K20</f>
        <v>0</v>
      </c>
      <c r="H20" s="28">
        <f>'５月'!K20</f>
        <v>0</v>
      </c>
      <c r="I20" s="28">
        <f>'６月'!K20</f>
        <v>0</v>
      </c>
      <c r="J20" s="28">
        <f>'７月'!K20</f>
        <v>0</v>
      </c>
      <c r="K20" s="28">
        <f>'８月'!K20</f>
        <v>0</v>
      </c>
      <c r="L20" s="28">
        <f>'９月'!K20</f>
        <v>0</v>
      </c>
      <c r="M20" s="28">
        <f>'１０月'!K20</f>
        <v>0</v>
      </c>
      <c r="N20" s="28">
        <f>'１１月'!K20</f>
        <v>0</v>
      </c>
      <c r="O20" s="28">
        <f>'１２月'!K20</f>
        <v>0</v>
      </c>
    </row>
    <row r="21" spans="2:15" ht="13.5">
      <c r="B21" s="27" t="str">
        <f>IF('１月'!J21="","",'１月'!J21)</f>
        <v>専従者給与</v>
      </c>
      <c r="C21" s="34">
        <f t="shared" si="0"/>
        <v>0</v>
      </c>
      <c r="D21" s="28">
        <f>'１月'!K21</f>
        <v>0</v>
      </c>
      <c r="E21" s="28">
        <f>'２月'!K21</f>
        <v>0</v>
      </c>
      <c r="F21" s="28">
        <f>'３月'!K21</f>
        <v>0</v>
      </c>
      <c r="G21" s="28">
        <f>'４月'!K21</f>
        <v>0</v>
      </c>
      <c r="H21" s="28">
        <f>'５月'!K21</f>
        <v>0</v>
      </c>
      <c r="I21" s="28">
        <f>'６月'!K21</f>
        <v>0</v>
      </c>
      <c r="J21" s="28">
        <f>'７月'!K21</f>
        <v>0</v>
      </c>
      <c r="K21" s="28">
        <f>'８月'!K21</f>
        <v>0</v>
      </c>
      <c r="L21" s="28">
        <f>'９月'!K21</f>
        <v>0</v>
      </c>
      <c r="M21" s="28">
        <f>'１０月'!K21</f>
        <v>0</v>
      </c>
      <c r="N21" s="28">
        <f>'１１月'!K21</f>
        <v>0</v>
      </c>
      <c r="O21" s="28">
        <f>'１２月'!K21</f>
        <v>0</v>
      </c>
    </row>
    <row r="22" spans="2:15" ht="13.5">
      <c r="B22" s="27" t="str">
        <f>IF('１月'!J22="","",'１月'!J22)</f>
        <v>リース料</v>
      </c>
      <c r="C22" s="34">
        <f t="shared" si="0"/>
        <v>0</v>
      </c>
      <c r="D22" s="28">
        <f>'１月'!K22</f>
        <v>0</v>
      </c>
      <c r="E22" s="28">
        <f>'２月'!K22</f>
        <v>0</v>
      </c>
      <c r="F22" s="28">
        <f>'３月'!K22</f>
        <v>0</v>
      </c>
      <c r="G22" s="28">
        <f>'４月'!K22</f>
        <v>0</v>
      </c>
      <c r="H22" s="28">
        <f>'５月'!K22</f>
        <v>0</v>
      </c>
      <c r="I22" s="28">
        <f>'６月'!K22</f>
        <v>0</v>
      </c>
      <c r="J22" s="28">
        <f>'７月'!K22</f>
        <v>0</v>
      </c>
      <c r="K22" s="28">
        <f>'８月'!K22</f>
        <v>0</v>
      </c>
      <c r="L22" s="28">
        <f>'９月'!K22</f>
        <v>0</v>
      </c>
      <c r="M22" s="28">
        <f>'１０月'!K22</f>
        <v>0</v>
      </c>
      <c r="N22" s="28">
        <f>'１１月'!K22</f>
        <v>0</v>
      </c>
      <c r="O22" s="28">
        <f>'１２月'!K22</f>
        <v>0</v>
      </c>
    </row>
    <row r="23" spans="2:15" ht="13.5">
      <c r="B23" s="27" t="str">
        <f>IF('１月'!J23="","",'１月'!J23)</f>
        <v>外注費</v>
      </c>
      <c r="C23" s="34">
        <f t="shared" si="0"/>
        <v>0</v>
      </c>
      <c r="D23" s="28">
        <f>'１月'!K23</f>
        <v>0</v>
      </c>
      <c r="E23" s="28">
        <f>'２月'!K23</f>
        <v>0</v>
      </c>
      <c r="F23" s="28">
        <f>'３月'!K23</f>
        <v>0</v>
      </c>
      <c r="G23" s="28">
        <f>'４月'!K23</f>
        <v>0</v>
      </c>
      <c r="H23" s="28">
        <f>'５月'!K23</f>
        <v>0</v>
      </c>
      <c r="I23" s="28">
        <f>'６月'!K23</f>
        <v>0</v>
      </c>
      <c r="J23" s="28">
        <f>'７月'!K23</f>
        <v>0</v>
      </c>
      <c r="K23" s="28">
        <f>'８月'!K23</f>
        <v>0</v>
      </c>
      <c r="L23" s="28">
        <f>'９月'!K23</f>
        <v>0</v>
      </c>
      <c r="M23" s="28">
        <f>'１０月'!K23</f>
        <v>0</v>
      </c>
      <c r="N23" s="28">
        <f>'１１月'!K23</f>
        <v>0</v>
      </c>
      <c r="O23" s="28">
        <f>'１２月'!K23</f>
        <v>0</v>
      </c>
    </row>
    <row r="24" spans="2:15" ht="13.5">
      <c r="B24" s="27">
        <f>IF('１月'!J24="","",'１月'!J24)</f>
      </c>
      <c r="C24" s="34">
        <f t="shared" si="0"/>
        <v>0</v>
      </c>
      <c r="D24" s="28">
        <f>'１月'!K24</f>
        <v>0</v>
      </c>
      <c r="E24" s="28">
        <f>'２月'!K24</f>
        <v>0</v>
      </c>
      <c r="F24" s="28">
        <f>'３月'!K24</f>
        <v>0</v>
      </c>
      <c r="G24" s="28">
        <f>'４月'!K24</f>
        <v>0</v>
      </c>
      <c r="H24" s="28">
        <f>'５月'!K24</f>
        <v>0</v>
      </c>
      <c r="I24" s="28">
        <f>'６月'!K24</f>
        <v>0</v>
      </c>
      <c r="J24" s="28">
        <f>'７月'!K24</f>
        <v>0</v>
      </c>
      <c r="K24" s="28">
        <f>'８月'!K24</f>
        <v>0</v>
      </c>
      <c r="L24" s="28">
        <f>'９月'!K24</f>
        <v>0</v>
      </c>
      <c r="M24" s="28">
        <f>'１０月'!K24</f>
        <v>0</v>
      </c>
      <c r="N24" s="28">
        <f>'１１月'!K24</f>
        <v>0</v>
      </c>
      <c r="O24" s="28">
        <f>'１２月'!K24</f>
        <v>0</v>
      </c>
    </row>
    <row r="25" spans="2:15" ht="13.5">
      <c r="B25" s="27" t="str">
        <f>IF('１月'!J25="","",'１月'!J25)</f>
        <v>　</v>
      </c>
      <c r="C25" s="34">
        <f t="shared" si="0"/>
        <v>0</v>
      </c>
      <c r="D25" s="28">
        <f>'１月'!K25</f>
        <v>0</v>
      </c>
      <c r="E25" s="28">
        <f>'２月'!K25</f>
        <v>0</v>
      </c>
      <c r="F25" s="28">
        <f>'３月'!K25</f>
        <v>0</v>
      </c>
      <c r="G25" s="28">
        <f>'４月'!K25</f>
        <v>0</v>
      </c>
      <c r="H25" s="28">
        <f>'５月'!K25</f>
        <v>0</v>
      </c>
      <c r="I25" s="28">
        <f>'６月'!K25</f>
        <v>0</v>
      </c>
      <c r="J25" s="28">
        <f>'７月'!K25</f>
        <v>0</v>
      </c>
      <c r="K25" s="28">
        <f>'８月'!K25</f>
        <v>0</v>
      </c>
      <c r="L25" s="28">
        <f>'９月'!K25</f>
        <v>0</v>
      </c>
      <c r="M25" s="28">
        <f>'１０月'!K25</f>
        <v>0</v>
      </c>
      <c r="N25" s="28">
        <f>'１１月'!K25</f>
        <v>0</v>
      </c>
      <c r="O25" s="28">
        <f>'１２月'!K25</f>
        <v>0</v>
      </c>
    </row>
    <row r="26" spans="2:15" ht="13.5">
      <c r="B26" s="27">
        <f>IF('１月'!J26="","",'１月'!J26)</f>
      </c>
      <c r="C26" s="34">
        <f t="shared" si="0"/>
        <v>0</v>
      </c>
      <c r="D26" s="28">
        <f>'１月'!K26</f>
        <v>0</v>
      </c>
      <c r="E26" s="28">
        <f>'２月'!K26</f>
        <v>0</v>
      </c>
      <c r="F26" s="28">
        <f>'３月'!K26</f>
        <v>0</v>
      </c>
      <c r="G26" s="28">
        <f>'４月'!K26</f>
        <v>0</v>
      </c>
      <c r="H26" s="28">
        <f>'５月'!K26</f>
        <v>0</v>
      </c>
      <c r="I26" s="28">
        <f>'６月'!K26</f>
        <v>0</v>
      </c>
      <c r="J26" s="28">
        <f>'７月'!K26</f>
        <v>0</v>
      </c>
      <c r="K26" s="28">
        <f>'８月'!K26</f>
        <v>0</v>
      </c>
      <c r="L26" s="28">
        <f>'９月'!K26</f>
        <v>0</v>
      </c>
      <c r="M26" s="28">
        <f>'１０月'!K26</f>
        <v>0</v>
      </c>
      <c r="N26" s="28">
        <f>'１１月'!K26</f>
        <v>0</v>
      </c>
      <c r="O26" s="28">
        <f>'１２月'!K26</f>
        <v>0</v>
      </c>
    </row>
    <row r="27" spans="2:15" ht="13.5">
      <c r="B27" s="27">
        <f>IF('１月'!J27="","",'１月'!J27)</f>
      </c>
      <c r="C27" s="34">
        <f t="shared" si="0"/>
        <v>0</v>
      </c>
      <c r="D27" s="28">
        <f>'１月'!K27</f>
        <v>0</v>
      </c>
      <c r="E27" s="28">
        <f>'２月'!K27</f>
        <v>0</v>
      </c>
      <c r="F27" s="28">
        <f>'３月'!K27</f>
        <v>0</v>
      </c>
      <c r="G27" s="28">
        <f>'４月'!K27</f>
        <v>0</v>
      </c>
      <c r="H27" s="28">
        <f>'５月'!K27</f>
        <v>0</v>
      </c>
      <c r="I27" s="28">
        <f>'６月'!K27</f>
        <v>0</v>
      </c>
      <c r="J27" s="28">
        <f>'７月'!K27</f>
        <v>0</v>
      </c>
      <c r="K27" s="28">
        <f>'８月'!K27</f>
        <v>0</v>
      </c>
      <c r="L27" s="28">
        <f>'９月'!K27</f>
        <v>0</v>
      </c>
      <c r="M27" s="28">
        <f>'１０月'!K27</f>
        <v>0</v>
      </c>
      <c r="N27" s="28">
        <f>'１１月'!K27</f>
        <v>0</v>
      </c>
      <c r="O27" s="28">
        <f>'１２月'!K27</f>
        <v>0</v>
      </c>
    </row>
    <row r="28" spans="2:15" ht="13.5">
      <c r="B28" s="27" t="str">
        <f>IF('１月'!J28="","",'１月'!J28)</f>
        <v>雑費</v>
      </c>
      <c r="C28" s="34">
        <f t="shared" si="0"/>
        <v>0</v>
      </c>
      <c r="D28" s="28">
        <f>'１月'!K28</f>
        <v>0</v>
      </c>
      <c r="E28" s="28">
        <f>'２月'!K28</f>
        <v>0</v>
      </c>
      <c r="F28" s="28">
        <f>'３月'!K28</f>
        <v>0</v>
      </c>
      <c r="G28" s="28">
        <f>'４月'!K28</f>
        <v>0</v>
      </c>
      <c r="H28" s="28">
        <f>'５月'!K28</f>
        <v>0</v>
      </c>
      <c r="I28" s="28">
        <f>'６月'!K28</f>
        <v>0</v>
      </c>
      <c r="J28" s="28">
        <f>'７月'!K28</f>
        <v>0</v>
      </c>
      <c r="K28" s="28">
        <f>'８月'!K28</f>
        <v>0</v>
      </c>
      <c r="L28" s="28">
        <f>'９月'!K28</f>
        <v>0</v>
      </c>
      <c r="M28" s="28">
        <f>'１０月'!K28</f>
        <v>0</v>
      </c>
      <c r="N28" s="28">
        <f>'１１月'!K28</f>
        <v>0</v>
      </c>
      <c r="O28" s="28">
        <f>'１２月'!K28</f>
        <v>0</v>
      </c>
    </row>
    <row r="29" spans="2:15" ht="13.5">
      <c r="B29" s="27" t="str">
        <f>IF('１月'!J29="","",'１月'!J29)</f>
        <v>経費合計</v>
      </c>
      <c r="C29" s="34">
        <f t="shared" si="0"/>
        <v>0</v>
      </c>
      <c r="D29" s="28">
        <f>'１月'!K29</f>
        <v>0</v>
      </c>
      <c r="E29" s="28">
        <f>'２月'!K29</f>
        <v>0</v>
      </c>
      <c r="F29" s="28">
        <f>'３月'!K29</f>
        <v>0</v>
      </c>
      <c r="G29" s="28">
        <f>'４月'!K29</f>
        <v>0</v>
      </c>
      <c r="H29" s="28">
        <f>'５月'!K29</f>
        <v>0</v>
      </c>
      <c r="I29" s="28">
        <f>'６月'!K29</f>
        <v>0</v>
      </c>
      <c r="J29" s="28">
        <f>'７月'!K29</f>
        <v>0</v>
      </c>
      <c r="K29" s="28">
        <f>'８月'!K29</f>
        <v>0</v>
      </c>
      <c r="L29" s="28">
        <f>'９月'!K29</f>
        <v>0</v>
      </c>
      <c r="M29" s="28">
        <f>'１０月'!K29</f>
        <v>0</v>
      </c>
      <c r="N29" s="28">
        <f>'１１月'!K29</f>
        <v>0</v>
      </c>
      <c r="O29" s="28">
        <f>'１２月'!K29</f>
        <v>0</v>
      </c>
    </row>
    <row r="30" spans="2:15" ht="13.5">
      <c r="B30" s="27" t="str">
        <f>IF('１月'!J30="","",'１月'!J30)</f>
        <v>利益</v>
      </c>
      <c r="C30" s="34">
        <f t="shared" si="0"/>
        <v>0</v>
      </c>
      <c r="D30" s="28">
        <f>'１月'!K30</f>
        <v>0</v>
      </c>
      <c r="E30" s="28">
        <f>'２月'!K30</f>
        <v>0</v>
      </c>
      <c r="F30" s="28">
        <f>'３月'!K30</f>
        <v>0</v>
      </c>
      <c r="G30" s="28">
        <f>'４月'!K30</f>
        <v>0</v>
      </c>
      <c r="H30" s="28">
        <f>'５月'!K30</f>
        <v>0</v>
      </c>
      <c r="I30" s="28">
        <f>'６月'!K30</f>
        <v>0</v>
      </c>
      <c r="J30" s="28">
        <f>'７月'!K30</f>
        <v>0</v>
      </c>
      <c r="K30" s="28">
        <f>'８月'!K30</f>
        <v>0</v>
      </c>
      <c r="L30" s="28">
        <f>'９月'!K30</f>
        <v>0</v>
      </c>
      <c r="M30" s="28">
        <f>'１０月'!K30</f>
        <v>0</v>
      </c>
      <c r="N30" s="28">
        <f>'１１月'!K30</f>
        <v>0</v>
      </c>
      <c r="O30" s="28">
        <f>'１２月'!K30</f>
        <v>0</v>
      </c>
    </row>
    <row r="31" spans="2:15" ht="13.5">
      <c r="B31" s="27" t="str">
        <f>IF('１月'!J31="","",'１月'!J31)</f>
        <v>入金</v>
      </c>
      <c r="C31" s="34">
        <f t="shared" si="0"/>
        <v>0</v>
      </c>
      <c r="D31" s="28">
        <f>'１月'!K31</f>
        <v>0</v>
      </c>
      <c r="E31" s="28">
        <f>'２月'!K31</f>
        <v>0</v>
      </c>
      <c r="F31" s="28">
        <f>'３月'!K31</f>
        <v>0</v>
      </c>
      <c r="G31" s="28">
        <f>'４月'!K31</f>
        <v>0</v>
      </c>
      <c r="H31" s="28">
        <f>'５月'!K31</f>
        <v>0</v>
      </c>
      <c r="I31" s="28">
        <f>'６月'!K31</f>
        <v>0</v>
      </c>
      <c r="J31" s="28">
        <f>'７月'!K31</f>
        <v>0</v>
      </c>
      <c r="K31" s="28">
        <f>'８月'!K31</f>
        <v>0</v>
      </c>
      <c r="L31" s="28">
        <f>'９月'!K31</f>
        <v>0</v>
      </c>
      <c r="M31" s="28">
        <f>'１０月'!K31</f>
        <v>0</v>
      </c>
      <c r="N31" s="28">
        <f>'１１月'!K31</f>
        <v>0</v>
      </c>
      <c r="O31" s="28">
        <f>'１２月'!K31</f>
        <v>0</v>
      </c>
    </row>
    <row r="32" spans="2:15" ht="13.5">
      <c r="B32" s="27" t="str">
        <f>IF('１月'!J32="","",'１月'!J32)</f>
        <v>その他支払い</v>
      </c>
      <c r="C32" s="34">
        <f t="shared" si="0"/>
        <v>0</v>
      </c>
      <c r="D32" s="28">
        <f>'１月'!K32</f>
        <v>0</v>
      </c>
      <c r="E32" s="28">
        <f>'２月'!K32</f>
        <v>0</v>
      </c>
      <c r="F32" s="28">
        <f>'３月'!K32</f>
        <v>0</v>
      </c>
      <c r="G32" s="28">
        <f>'４月'!K32</f>
        <v>0</v>
      </c>
      <c r="H32" s="28">
        <f>'５月'!K32</f>
        <v>0</v>
      </c>
      <c r="I32" s="28">
        <f>'６月'!K32</f>
        <v>0</v>
      </c>
      <c r="J32" s="28">
        <f>'７月'!K32</f>
        <v>0</v>
      </c>
      <c r="K32" s="28">
        <f>'８月'!K32</f>
        <v>0</v>
      </c>
      <c r="L32" s="28">
        <f>'９月'!K32</f>
        <v>0</v>
      </c>
      <c r="M32" s="28">
        <f>'１０月'!K32</f>
        <v>0</v>
      </c>
      <c r="N32" s="28">
        <f>'１１月'!K32</f>
        <v>0</v>
      </c>
      <c r="O32" s="28">
        <f>'１２月'!K32</f>
        <v>0</v>
      </c>
    </row>
    <row r="33" ht="13.5">
      <c r="B33" s="35"/>
    </row>
    <row r="34" ht="13.5">
      <c r="B34" s="35"/>
    </row>
    <row r="35" ht="13.5">
      <c r="B35" s="35"/>
    </row>
    <row r="36" ht="13.5">
      <c r="B36" s="35"/>
    </row>
    <row r="37" spans="2:15" ht="13.5">
      <c r="B37" s="27">
        <f>IF('１月'!J37="","",'１月'!J37)</f>
      </c>
      <c r="C37" s="28">
        <f>SUM(D37:O37)</f>
        <v>0</v>
      </c>
      <c r="D37" s="28">
        <f>'１月'!K37</f>
        <v>0</v>
      </c>
      <c r="E37" s="28">
        <f>'２月'!K37</f>
        <v>0</v>
      </c>
      <c r="F37" s="28">
        <f>'３月'!K37</f>
        <v>0</v>
      </c>
      <c r="G37" s="28">
        <f>'４月'!K37</f>
        <v>0</v>
      </c>
      <c r="H37" s="28">
        <f>'５月'!K37</f>
        <v>0</v>
      </c>
      <c r="I37" s="28">
        <f>'６月'!K37</f>
        <v>0</v>
      </c>
      <c r="J37" s="28">
        <f>'７月'!K37</f>
        <v>0</v>
      </c>
      <c r="K37" s="28">
        <f>'８月'!K37</f>
        <v>0</v>
      </c>
      <c r="L37" s="28">
        <f>'９月'!K37</f>
        <v>0</v>
      </c>
      <c r="M37" s="28">
        <f>'１０月'!K37</f>
        <v>0</v>
      </c>
      <c r="N37" s="28">
        <f>'１１月'!K37</f>
        <v>0</v>
      </c>
      <c r="O37" s="28">
        <f>'１２月'!K37</f>
        <v>0</v>
      </c>
    </row>
    <row r="38" spans="2:15" ht="13.5">
      <c r="B38" s="27">
        <f>IF('１月'!J38="","",'１月'!J38)</f>
      </c>
      <c r="C38" s="28">
        <f aca="true" t="shared" si="1" ref="C38:C46">SUM(D38:O38)</f>
        <v>0</v>
      </c>
      <c r="D38" s="28">
        <f>'１月'!K38</f>
        <v>0</v>
      </c>
      <c r="E38" s="28">
        <f>'２月'!K38</f>
        <v>0</v>
      </c>
      <c r="F38" s="28">
        <f>'３月'!K38</f>
        <v>0</v>
      </c>
      <c r="G38" s="28">
        <f>'４月'!K38</f>
        <v>0</v>
      </c>
      <c r="H38" s="28">
        <f>'５月'!K38</f>
        <v>0</v>
      </c>
      <c r="I38" s="28">
        <f>'６月'!K38</f>
        <v>0</v>
      </c>
      <c r="J38" s="28">
        <f>'７月'!K38</f>
        <v>0</v>
      </c>
      <c r="K38" s="28">
        <f>'８月'!K38</f>
        <v>0</v>
      </c>
      <c r="L38" s="28">
        <f>'９月'!K38</f>
        <v>0</v>
      </c>
      <c r="M38" s="28">
        <f>'１０月'!K38</f>
        <v>0</v>
      </c>
      <c r="N38" s="28">
        <f>'１１月'!K38</f>
        <v>0</v>
      </c>
      <c r="O38" s="28">
        <f>'１２月'!K38</f>
        <v>0</v>
      </c>
    </row>
    <row r="39" spans="2:15" ht="13.5">
      <c r="B39" s="27">
        <f>IF('１月'!J39="","",'１月'!J39)</f>
      </c>
      <c r="C39" s="28">
        <f t="shared" si="1"/>
        <v>0</v>
      </c>
      <c r="D39" s="28">
        <f>'１月'!K39</f>
        <v>0</v>
      </c>
      <c r="E39" s="28">
        <f>'２月'!K39</f>
        <v>0</v>
      </c>
      <c r="F39" s="28">
        <f>'３月'!K39</f>
        <v>0</v>
      </c>
      <c r="G39" s="28">
        <f>'４月'!K39</f>
        <v>0</v>
      </c>
      <c r="H39" s="28">
        <f>'５月'!K39</f>
        <v>0</v>
      </c>
      <c r="I39" s="28">
        <f>'６月'!K39</f>
        <v>0</v>
      </c>
      <c r="J39" s="28">
        <f>'７月'!K39</f>
        <v>0</v>
      </c>
      <c r="K39" s="28">
        <f>'８月'!K39</f>
        <v>0</v>
      </c>
      <c r="L39" s="28">
        <f>'９月'!K39</f>
        <v>0</v>
      </c>
      <c r="M39" s="28">
        <f>'１０月'!K39</f>
        <v>0</v>
      </c>
      <c r="N39" s="28">
        <f>'１１月'!K39</f>
        <v>0</v>
      </c>
      <c r="O39" s="28">
        <f>'１２月'!K39</f>
        <v>0</v>
      </c>
    </row>
    <row r="40" spans="2:15" ht="13.5">
      <c r="B40" s="27">
        <f>IF('１月'!J40="","",'１月'!J40)</f>
      </c>
      <c r="C40" s="28">
        <f t="shared" si="1"/>
        <v>0</v>
      </c>
      <c r="D40" s="28">
        <f>'１月'!K40</f>
        <v>0</v>
      </c>
      <c r="E40" s="28">
        <f>'２月'!K40</f>
        <v>0</v>
      </c>
      <c r="F40" s="28">
        <f>'３月'!K40</f>
        <v>0</v>
      </c>
      <c r="G40" s="28">
        <f>'４月'!K40</f>
        <v>0</v>
      </c>
      <c r="H40" s="28">
        <f>'５月'!K40</f>
        <v>0</v>
      </c>
      <c r="I40" s="28">
        <f>'６月'!K40</f>
        <v>0</v>
      </c>
      <c r="J40" s="28">
        <f>'７月'!K40</f>
        <v>0</v>
      </c>
      <c r="K40" s="28">
        <f>'８月'!K40</f>
        <v>0</v>
      </c>
      <c r="L40" s="28">
        <f>'９月'!K40</f>
        <v>0</v>
      </c>
      <c r="M40" s="28">
        <f>'１０月'!K40</f>
        <v>0</v>
      </c>
      <c r="N40" s="28">
        <f>'１１月'!K40</f>
        <v>0</v>
      </c>
      <c r="O40" s="28">
        <f>'１２月'!K40</f>
        <v>0</v>
      </c>
    </row>
    <row r="41" spans="2:15" ht="13.5">
      <c r="B41" s="27">
        <f>IF('１月'!J41="","",'１月'!J41)</f>
      </c>
      <c r="C41" s="28">
        <f t="shared" si="1"/>
        <v>0</v>
      </c>
      <c r="D41" s="28">
        <f>'１月'!K41</f>
        <v>0</v>
      </c>
      <c r="E41" s="28">
        <f>'２月'!K41</f>
        <v>0</v>
      </c>
      <c r="F41" s="28">
        <f>'３月'!K41</f>
        <v>0</v>
      </c>
      <c r="G41" s="28">
        <f>'４月'!K41</f>
        <v>0</v>
      </c>
      <c r="H41" s="28">
        <f>'５月'!K41</f>
        <v>0</v>
      </c>
      <c r="I41" s="28">
        <f>'６月'!K41</f>
        <v>0</v>
      </c>
      <c r="J41" s="28">
        <f>'７月'!K41</f>
        <v>0</v>
      </c>
      <c r="K41" s="28">
        <f>'８月'!K41</f>
        <v>0</v>
      </c>
      <c r="L41" s="28">
        <f>'９月'!K41</f>
        <v>0</v>
      </c>
      <c r="M41" s="28">
        <f>'１０月'!K41</f>
        <v>0</v>
      </c>
      <c r="N41" s="28">
        <f>'１１月'!K41</f>
        <v>0</v>
      </c>
      <c r="O41" s="28">
        <f>'１２月'!K41</f>
        <v>0</v>
      </c>
    </row>
    <row r="42" spans="2:15" ht="13.5">
      <c r="B42" s="27">
        <f>IF('１月'!J42="","",'１月'!J42)</f>
      </c>
      <c r="C42" s="28">
        <f t="shared" si="1"/>
        <v>0</v>
      </c>
      <c r="D42" s="28">
        <f>'１月'!K42</f>
        <v>0</v>
      </c>
      <c r="E42" s="28">
        <f>'２月'!K42</f>
        <v>0</v>
      </c>
      <c r="F42" s="28">
        <f>'３月'!K42</f>
        <v>0</v>
      </c>
      <c r="G42" s="28">
        <f>'４月'!K42</f>
        <v>0</v>
      </c>
      <c r="H42" s="28">
        <f>'５月'!K42</f>
        <v>0</v>
      </c>
      <c r="I42" s="28">
        <f>'６月'!K42</f>
        <v>0</v>
      </c>
      <c r="J42" s="28">
        <f>'７月'!K42</f>
        <v>0</v>
      </c>
      <c r="K42" s="28">
        <f>'８月'!K42</f>
        <v>0</v>
      </c>
      <c r="L42" s="28">
        <f>'９月'!K42</f>
        <v>0</v>
      </c>
      <c r="M42" s="28">
        <f>'１０月'!K42</f>
        <v>0</v>
      </c>
      <c r="N42" s="28">
        <f>'１１月'!K42</f>
        <v>0</v>
      </c>
      <c r="O42" s="28">
        <f>'１２月'!K42</f>
        <v>0</v>
      </c>
    </row>
    <row r="43" spans="2:15" ht="13.5">
      <c r="B43" s="27">
        <f>IF('１月'!J43="","",'１月'!J43)</f>
      </c>
      <c r="C43" s="28">
        <f t="shared" si="1"/>
        <v>0</v>
      </c>
      <c r="D43" s="28">
        <f>'１月'!K43</f>
        <v>0</v>
      </c>
      <c r="E43" s="28">
        <f>'２月'!K43</f>
        <v>0</v>
      </c>
      <c r="F43" s="28">
        <f>'３月'!K43</f>
        <v>0</v>
      </c>
      <c r="G43" s="28">
        <f>'４月'!K43</f>
        <v>0</v>
      </c>
      <c r="H43" s="28">
        <f>'５月'!K43</f>
        <v>0</v>
      </c>
      <c r="I43" s="28">
        <f>'６月'!K43</f>
        <v>0</v>
      </c>
      <c r="J43" s="28">
        <f>'７月'!K43</f>
        <v>0</v>
      </c>
      <c r="K43" s="28">
        <f>'８月'!K43</f>
        <v>0</v>
      </c>
      <c r="L43" s="28">
        <f>'９月'!K43</f>
        <v>0</v>
      </c>
      <c r="M43" s="28">
        <f>'１０月'!K43</f>
        <v>0</v>
      </c>
      <c r="N43" s="28">
        <f>'１１月'!K43</f>
        <v>0</v>
      </c>
      <c r="O43" s="28">
        <f>'１２月'!K43</f>
        <v>0</v>
      </c>
    </row>
    <row r="44" spans="2:15" ht="13.5">
      <c r="B44" s="27">
        <f>IF('１月'!J44="","",'１月'!J44)</f>
      </c>
      <c r="C44" s="28">
        <f t="shared" si="1"/>
        <v>0</v>
      </c>
      <c r="D44" s="28">
        <f>'１月'!K44</f>
        <v>0</v>
      </c>
      <c r="E44" s="28">
        <f>'２月'!K44</f>
        <v>0</v>
      </c>
      <c r="F44" s="28">
        <f>'３月'!K44</f>
        <v>0</v>
      </c>
      <c r="G44" s="28">
        <f>'４月'!K44</f>
        <v>0</v>
      </c>
      <c r="H44" s="28">
        <f>'５月'!K44</f>
        <v>0</v>
      </c>
      <c r="I44" s="28">
        <f>'６月'!K44</f>
        <v>0</v>
      </c>
      <c r="J44" s="28">
        <f>'７月'!K44</f>
        <v>0</v>
      </c>
      <c r="K44" s="28">
        <f>'８月'!K44</f>
        <v>0</v>
      </c>
      <c r="L44" s="28">
        <f>'９月'!K44</f>
        <v>0</v>
      </c>
      <c r="M44" s="28">
        <f>'１０月'!K44</f>
        <v>0</v>
      </c>
      <c r="N44" s="28">
        <f>'１１月'!K44</f>
        <v>0</v>
      </c>
      <c r="O44" s="28">
        <f>'１２月'!K44</f>
        <v>0</v>
      </c>
    </row>
    <row r="45" spans="2:15" ht="13.5">
      <c r="B45" s="27">
        <f>IF('１月'!J45="","",'１月'!J45)</f>
      </c>
      <c r="C45" s="28">
        <f t="shared" si="1"/>
        <v>0</v>
      </c>
      <c r="D45" s="28">
        <f>'１月'!K45</f>
        <v>0</v>
      </c>
      <c r="E45" s="28">
        <f>'２月'!K45</f>
        <v>0</v>
      </c>
      <c r="F45" s="28">
        <f>'３月'!K45</f>
        <v>0</v>
      </c>
      <c r="G45" s="28">
        <f>'４月'!K45</f>
        <v>0</v>
      </c>
      <c r="H45" s="28">
        <f>'５月'!K45</f>
        <v>0</v>
      </c>
      <c r="I45" s="28">
        <f>'６月'!K45</f>
        <v>0</v>
      </c>
      <c r="J45" s="28">
        <f>'７月'!K45</f>
        <v>0</v>
      </c>
      <c r="K45" s="28">
        <f>'８月'!K45</f>
        <v>0</v>
      </c>
      <c r="L45" s="28">
        <f>'９月'!K45</f>
        <v>0</v>
      </c>
      <c r="M45" s="28">
        <f>'１０月'!K45</f>
        <v>0</v>
      </c>
      <c r="N45" s="28">
        <f>'１１月'!K45</f>
        <v>0</v>
      </c>
      <c r="O45" s="28">
        <f>'１２月'!K45</f>
        <v>0</v>
      </c>
    </row>
    <row r="46" spans="2:15" ht="13.5">
      <c r="B46" s="27">
        <f>IF('１月'!J46="","",'１月'!J46)</f>
      </c>
      <c r="C46" s="28">
        <f t="shared" si="1"/>
        <v>0</v>
      </c>
      <c r="D46" s="28">
        <f>'１月'!K46</f>
        <v>0</v>
      </c>
      <c r="E46" s="28">
        <f>'２月'!K46</f>
        <v>0</v>
      </c>
      <c r="F46" s="28">
        <f>'３月'!K46</f>
        <v>0</v>
      </c>
      <c r="G46" s="28">
        <f>'４月'!K46</f>
        <v>0</v>
      </c>
      <c r="H46" s="28">
        <f>'５月'!K46</f>
        <v>0</v>
      </c>
      <c r="I46" s="28">
        <f>'６月'!K46</f>
        <v>0</v>
      </c>
      <c r="J46" s="28">
        <f>'７月'!K46</f>
        <v>0</v>
      </c>
      <c r="K46" s="28">
        <f>'８月'!K46</f>
        <v>0</v>
      </c>
      <c r="L46" s="28">
        <f>'９月'!K46</f>
        <v>0</v>
      </c>
      <c r="M46" s="28">
        <f>'１０月'!K46</f>
        <v>0</v>
      </c>
      <c r="N46" s="28">
        <f>'１１月'!K46</f>
        <v>0</v>
      </c>
      <c r="O46" s="28">
        <f>'１２月'!K46</f>
        <v>0</v>
      </c>
    </row>
  </sheetData>
  <sheetProtection/>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Q92"/>
  <sheetViews>
    <sheetView zoomScalePageLayoutView="0" workbookViewId="0" topLeftCell="A1">
      <selection activeCell="J24" sqref="J24"/>
    </sheetView>
  </sheetViews>
  <sheetFormatPr defaultColWidth="9.00390625" defaultRowHeight="13.5"/>
  <cols>
    <col min="3" max="3" width="10.875" style="0" customWidth="1"/>
    <col min="4" max="4" width="18.125" style="0" customWidth="1"/>
    <col min="5" max="5" width="22.25390625" style="0" customWidth="1"/>
    <col min="6" max="7" width="11.875" style="0" customWidth="1"/>
    <col min="8" max="8" width="13.125" style="0" customWidth="1"/>
    <col min="10" max="10" width="12.75390625" style="0" bestFit="1" customWidth="1"/>
    <col min="14" max="14" width="5.25390625" style="0" bestFit="1" customWidth="1"/>
  </cols>
  <sheetData>
    <row r="1" spans="1:11" ht="23.25">
      <c r="A1" s="1"/>
      <c r="B1" s="38" t="s">
        <v>9</v>
      </c>
      <c r="C1" s="39"/>
      <c r="D1" s="2"/>
      <c r="E1" s="2"/>
      <c r="F1" s="2"/>
      <c r="G1" s="2"/>
      <c r="H1" s="2"/>
      <c r="K1" s="3"/>
    </row>
    <row r="2" spans="1:11" ht="15" thickBot="1">
      <c r="A2" s="1"/>
      <c r="B2" s="1"/>
      <c r="C2" s="1"/>
      <c r="D2" s="1"/>
      <c r="E2" s="1"/>
      <c r="F2" s="1"/>
      <c r="G2" s="1"/>
      <c r="H2" s="4" t="s">
        <v>40</v>
      </c>
      <c r="K2" s="3"/>
    </row>
    <row r="3" spans="1:17" ht="15" thickBot="1">
      <c r="A3" s="1"/>
      <c r="B3" s="5" t="s">
        <v>1</v>
      </c>
      <c r="C3" s="6" t="s">
        <v>2</v>
      </c>
      <c r="D3" s="7" t="s">
        <v>3</v>
      </c>
      <c r="E3" s="8" t="s">
        <v>4</v>
      </c>
      <c r="F3" s="6" t="s">
        <v>5</v>
      </c>
      <c r="G3" s="6" t="s">
        <v>6</v>
      </c>
      <c r="H3" s="9" t="s">
        <v>7</v>
      </c>
      <c r="J3" s="27" t="str">
        <f>IF('１月'!J3="","",'１月'!J3)</f>
        <v>売上</v>
      </c>
      <c r="K3" s="28">
        <f>SUMIF($C$5:$C$91,J3,$F$5:$F$91)</f>
        <v>0</v>
      </c>
      <c r="M3" s="29" t="s">
        <v>36</v>
      </c>
      <c r="N3" s="29" t="s">
        <v>37</v>
      </c>
      <c r="O3" s="30" t="s">
        <v>38</v>
      </c>
      <c r="P3" s="30" t="s">
        <v>39</v>
      </c>
      <c r="Q3" s="27"/>
    </row>
    <row r="4" spans="1:17" ht="14.25">
      <c r="A4" s="1"/>
      <c r="B4" s="10"/>
      <c r="C4" s="22" t="s">
        <v>33</v>
      </c>
      <c r="D4" s="11"/>
      <c r="E4" s="12" t="s">
        <v>35</v>
      </c>
      <c r="F4" s="13"/>
      <c r="G4" s="13"/>
      <c r="H4" s="14">
        <f>'１月'!H92</f>
      </c>
      <c r="J4" s="27" t="str">
        <f>IF('１月'!J4="","",'１月'!J4)</f>
        <v>仕入</v>
      </c>
      <c r="K4" s="28">
        <f>SUMIF($C$5:$C$91,J4,$G$5:$G$91)</f>
        <v>0</v>
      </c>
      <c r="M4" s="31">
        <v>40575</v>
      </c>
      <c r="N4" s="42" t="s">
        <v>74</v>
      </c>
      <c r="O4" s="28">
        <f>SUMIF($B$5:$B$91,"2月1日",$F$5:$F$91)</f>
        <v>0</v>
      </c>
      <c r="P4" s="28">
        <f>SUMIF($B$5:$B$91,"2月1日",$G$5:$G$91)</f>
        <v>0</v>
      </c>
      <c r="Q4" s="32">
        <f>O4-P4</f>
        <v>0</v>
      </c>
    </row>
    <row r="5" spans="1:17" ht="14.25">
      <c r="A5" s="1"/>
      <c r="B5" s="10"/>
      <c r="C5" s="22" t="s">
        <v>33</v>
      </c>
      <c r="D5" s="11"/>
      <c r="E5" s="12"/>
      <c r="F5" s="13"/>
      <c r="G5" s="13"/>
      <c r="H5" s="14">
        <f>IF(OR(H4="",AND(F5="",G5="")),"",H4+F5-G5)</f>
      </c>
      <c r="J5" s="27" t="str">
        <f>IF('１月'!J5="","",'１月'!J5)</f>
        <v>製造原価</v>
      </c>
      <c r="K5" s="28">
        <f>K3-K4</f>
        <v>0</v>
      </c>
      <c r="M5" s="31">
        <v>40576</v>
      </c>
      <c r="N5" s="42" t="s">
        <v>69</v>
      </c>
      <c r="O5" s="28">
        <f>SUMIF($B$5:$B$91,"2月2日",$F$5:$F$91)</f>
        <v>0</v>
      </c>
      <c r="P5" s="28">
        <f>SUMIF($B$5:$B$91,"2月2日",$G$5:$G$91)</f>
        <v>0</v>
      </c>
      <c r="Q5" s="32">
        <f aca="true" t="shared" si="0" ref="Q5:Q33">O5-P5</f>
        <v>0</v>
      </c>
    </row>
    <row r="6" spans="1:17" ht="14.25">
      <c r="A6" s="1"/>
      <c r="B6" s="10"/>
      <c r="C6" s="22" t="s">
        <v>33</v>
      </c>
      <c r="D6" s="11"/>
      <c r="E6" s="12"/>
      <c r="F6" s="13"/>
      <c r="G6" s="13"/>
      <c r="H6" s="14">
        <f aca="true" t="shared" si="1" ref="H6:H69">IF(OR(H5="",AND(F6="",G6="")),"",H5+F6-G6)</f>
      </c>
      <c r="J6" s="27" t="str">
        <f>IF('１月'!J6="","",'１月'!J6)</f>
        <v>租税公課</v>
      </c>
      <c r="K6" s="28">
        <f>SUMIF($C$5:$C$91,J6,$G$5:$G$91)</f>
        <v>0</v>
      </c>
      <c r="M6" s="31">
        <v>40577</v>
      </c>
      <c r="N6" s="42" t="s">
        <v>70</v>
      </c>
      <c r="O6" s="28">
        <f>SUMIF($B$5:$B$91,"2月3日",$F$5:$F$91)</f>
        <v>0</v>
      </c>
      <c r="P6" s="28">
        <f>SUMIF($B$5:$B$91,"2月3日",$G$5:$G$91)</f>
        <v>0</v>
      </c>
      <c r="Q6" s="32">
        <f t="shared" si="0"/>
        <v>0</v>
      </c>
    </row>
    <row r="7" spans="1:17" ht="14.25">
      <c r="A7" s="1"/>
      <c r="B7" s="10"/>
      <c r="C7" s="22" t="s">
        <v>33</v>
      </c>
      <c r="D7" s="11"/>
      <c r="E7" s="12"/>
      <c r="F7" s="13"/>
      <c r="G7" s="13"/>
      <c r="H7" s="14">
        <f t="shared" si="1"/>
      </c>
      <c r="J7" s="27" t="str">
        <f>IF('１月'!J7="","",'１月'!J7)</f>
        <v>荷造運賃</v>
      </c>
      <c r="K7" s="28">
        <f aca="true" t="shared" si="2" ref="K7:K28">SUMIF($C$5:$C$91,J7,$G$5:$G$91)</f>
        <v>0</v>
      </c>
      <c r="M7" s="31">
        <v>40578</v>
      </c>
      <c r="N7" s="42" t="s">
        <v>71</v>
      </c>
      <c r="O7" s="28">
        <f>SUMIF($B$5:$B$91,"2月4日",$F$5:$F$91)</f>
        <v>0</v>
      </c>
      <c r="P7" s="28">
        <f>SUMIF($B$5:$B$91,"2月4日",$G$5:$G$91)</f>
        <v>0</v>
      </c>
      <c r="Q7" s="32">
        <f t="shared" si="0"/>
        <v>0</v>
      </c>
    </row>
    <row r="8" spans="1:17" ht="14.25">
      <c r="A8" s="1"/>
      <c r="B8" s="10"/>
      <c r="C8" s="22" t="s">
        <v>33</v>
      </c>
      <c r="D8" s="11"/>
      <c r="E8" s="12"/>
      <c r="F8" s="13"/>
      <c r="G8" s="13"/>
      <c r="H8" s="14">
        <f t="shared" si="1"/>
      </c>
      <c r="J8" s="27" t="str">
        <f>IF('１月'!J8="","",'１月'!J8)</f>
        <v>水道光熱費</v>
      </c>
      <c r="K8" s="28">
        <f t="shared" si="2"/>
        <v>0</v>
      </c>
      <c r="M8" s="31">
        <v>40579</v>
      </c>
      <c r="N8" s="42" t="s">
        <v>72</v>
      </c>
      <c r="O8" s="28">
        <f>SUMIF($B$5:$B$91,"2月5日",$F$5:$F$91)</f>
        <v>0</v>
      </c>
      <c r="P8" s="28">
        <f>SUMIF($B$5:$B$91,"2月5日",$G$5:$G$91)</f>
        <v>0</v>
      </c>
      <c r="Q8" s="32">
        <f t="shared" si="0"/>
        <v>0</v>
      </c>
    </row>
    <row r="9" spans="1:17" ht="14.25">
      <c r="A9" s="1"/>
      <c r="B9" s="10"/>
      <c r="C9" s="22" t="s">
        <v>33</v>
      </c>
      <c r="D9" s="11"/>
      <c r="E9" s="12"/>
      <c r="F9" s="13"/>
      <c r="G9" s="13"/>
      <c r="H9" s="14">
        <f t="shared" si="1"/>
      </c>
      <c r="J9" s="27" t="str">
        <f>IF('１月'!J9="","",'１月'!J9)</f>
        <v>旅費交通費</v>
      </c>
      <c r="K9" s="28">
        <f t="shared" si="2"/>
        <v>0</v>
      </c>
      <c r="M9" s="31">
        <v>40580</v>
      </c>
      <c r="N9" s="42" t="s">
        <v>66</v>
      </c>
      <c r="O9" s="28">
        <f>SUMIF($B$5:$B$91,"2月6日",$F$5:$F$91)</f>
        <v>0</v>
      </c>
      <c r="P9" s="28">
        <f>SUMIF($B$5:$B$91,"2月6日",$G$5:$G$91)</f>
        <v>0</v>
      </c>
      <c r="Q9" s="32">
        <f t="shared" si="0"/>
        <v>0</v>
      </c>
    </row>
    <row r="10" spans="1:17" ht="14.25">
      <c r="A10" s="15"/>
      <c r="B10" s="10"/>
      <c r="C10" s="22" t="s">
        <v>33</v>
      </c>
      <c r="D10" s="11"/>
      <c r="E10" s="12"/>
      <c r="F10" s="13"/>
      <c r="G10" s="13"/>
      <c r="H10" s="14">
        <f t="shared" si="1"/>
      </c>
      <c r="J10" s="27" t="str">
        <f>IF('１月'!J10="","",'１月'!J10)</f>
        <v>通信費</v>
      </c>
      <c r="K10" s="28">
        <f t="shared" si="2"/>
        <v>0</v>
      </c>
      <c r="M10" s="31">
        <v>40581</v>
      </c>
      <c r="N10" s="42" t="s">
        <v>67</v>
      </c>
      <c r="O10" s="28">
        <f>SUMIF($B$5:$B$91,"2月7日",$F$5:$F$91)</f>
        <v>0</v>
      </c>
      <c r="P10" s="28">
        <f>SUMIF($B$5:$B$91,"2月7日",$G$5:$G$91)</f>
        <v>0</v>
      </c>
      <c r="Q10" s="32">
        <f t="shared" si="0"/>
        <v>0</v>
      </c>
    </row>
    <row r="11" spans="1:17" ht="14.25">
      <c r="A11" s="15"/>
      <c r="B11" s="10"/>
      <c r="C11" s="22" t="s">
        <v>33</v>
      </c>
      <c r="D11" s="11"/>
      <c r="E11" s="12"/>
      <c r="F11" s="13"/>
      <c r="G11" s="13"/>
      <c r="H11" s="14">
        <f t="shared" si="1"/>
      </c>
      <c r="J11" s="27" t="str">
        <f>IF('１月'!J11="","",'１月'!J11)</f>
        <v>広告宣伝費</v>
      </c>
      <c r="K11" s="28">
        <f t="shared" si="2"/>
        <v>0</v>
      </c>
      <c r="M11" s="31">
        <v>40582</v>
      </c>
      <c r="N11" s="42" t="s">
        <v>68</v>
      </c>
      <c r="O11" s="28">
        <f>SUMIF($B$5:$B$91,"2月8日",$F$5:$F$91)</f>
        <v>0</v>
      </c>
      <c r="P11" s="28">
        <f>SUMIF($B$5:$B$91,"2月8日",$G$5:$G$91)</f>
        <v>0</v>
      </c>
      <c r="Q11" s="32">
        <f t="shared" si="0"/>
        <v>0</v>
      </c>
    </row>
    <row r="12" spans="1:17" ht="14.25">
      <c r="A12" s="15"/>
      <c r="B12" s="10"/>
      <c r="C12" s="22" t="s">
        <v>33</v>
      </c>
      <c r="D12" s="11"/>
      <c r="E12" s="12"/>
      <c r="F12" s="13"/>
      <c r="G12" s="13"/>
      <c r="H12" s="14">
        <f t="shared" si="1"/>
      </c>
      <c r="J12" s="27" t="str">
        <f>IF('１月'!J12="","",'１月'!J12)</f>
        <v>接待交際費</v>
      </c>
      <c r="K12" s="28">
        <f t="shared" si="2"/>
        <v>0</v>
      </c>
      <c r="M12" s="31">
        <v>40583</v>
      </c>
      <c r="N12" s="42" t="s">
        <v>69</v>
      </c>
      <c r="O12" s="28">
        <f>SUMIF($B$5:$B$91,"2月9日",$F$5:$F$91)</f>
        <v>0</v>
      </c>
      <c r="P12" s="28">
        <f>SUMIF($B$5:$B$91,"2月9日",$G$5:$G$91)</f>
        <v>0</v>
      </c>
      <c r="Q12" s="32">
        <f t="shared" si="0"/>
        <v>0</v>
      </c>
    </row>
    <row r="13" spans="1:17" ht="14.25">
      <c r="A13" s="15"/>
      <c r="B13" s="10"/>
      <c r="C13" s="22" t="s">
        <v>33</v>
      </c>
      <c r="D13" s="11"/>
      <c r="E13" s="12"/>
      <c r="F13" s="13"/>
      <c r="G13" s="13"/>
      <c r="H13" s="14">
        <f t="shared" si="1"/>
      </c>
      <c r="J13" s="27" t="str">
        <f>IF('１月'!J13="","",'１月'!J13)</f>
        <v>損害保険料</v>
      </c>
      <c r="K13" s="28">
        <f t="shared" si="2"/>
        <v>0</v>
      </c>
      <c r="M13" s="31">
        <v>40584</v>
      </c>
      <c r="N13" s="42" t="s">
        <v>70</v>
      </c>
      <c r="O13" s="28">
        <f>SUMIF($B$5:$B$91,"2月10日",$F$5:$F$91)</f>
        <v>0</v>
      </c>
      <c r="P13" s="28">
        <f>SUMIF($B$5:$B$91,"2月10日",$G$5:$G$91)</f>
        <v>0</v>
      </c>
      <c r="Q13" s="32">
        <f t="shared" si="0"/>
        <v>0</v>
      </c>
    </row>
    <row r="14" spans="1:17" ht="14.25">
      <c r="A14" s="15"/>
      <c r="B14" s="10"/>
      <c r="C14" s="22" t="s">
        <v>33</v>
      </c>
      <c r="D14" s="11"/>
      <c r="E14" s="12"/>
      <c r="F14" s="13"/>
      <c r="G14" s="13"/>
      <c r="H14" s="14">
        <f t="shared" si="1"/>
      </c>
      <c r="J14" s="27" t="str">
        <f>IF('１月'!J14="","",'１月'!J14)</f>
        <v>修繕費</v>
      </c>
      <c r="K14" s="28">
        <f t="shared" si="2"/>
        <v>0</v>
      </c>
      <c r="M14" s="31">
        <v>40585</v>
      </c>
      <c r="N14" s="42" t="s">
        <v>71</v>
      </c>
      <c r="O14" s="28">
        <f>SUMIF($B$5:$B$91,"2月11日",$F$5:$F$91)</f>
        <v>0</v>
      </c>
      <c r="P14" s="28">
        <f>SUMIF($B$5:$B$91,"2月11日",$G$5:$G$91)</f>
        <v>0</v>
      </c>
      <c r="Q14" s="32">
        <f t="shared" si="0"/>
        <v>0</v>
      </c>
    </row>
    <row r="15" spans="1:17" ht="14.25">
      <c r="A15" s="15"/>
      <c r="B15" s="10"/>
      <c r="C15" s="22" t="s">
        <v>33</v>
      </c>
      <c r="D15" s="11"/>
      <c r="E15" s="16"/>
      <c r="F15" s="13"/>
      <c r="G15" s="13"/>
      <c r="H15" s="14">
        <f t="shared" si="1"/>
      </c>
      <c r="J15" s="27" t="str">
        <f>IF('１月'!J15="","",'１月'!J15)</f>
        <v>消耗品費</v>
      </c>
      <c r="K15" s="28">
        <f t="shared" si="2"/>
        <v>0</v>
      </c>
      <c r="M15" s="31">
        <v>40586</v>
      </c>
      <c r="N15" s="42" t="s">
        <v>72</v>
      </c>
      <c r="O15" s="28">
        <f>SUMIF($B$5:$B$91,"2月12日",$F$5:$F$91)</f>
        <v>0</v>
      </c>
      <c r="P15" s="28">
        <f>SUMIF($B$5:$B$91,"2月12日",$G$5:$G$91)</f>
        <v>0</v>
      </c>
      <c r="Q15" s="32">
        <f t="shared" si="0"/>
        <v>0</v>
      </c>
    </row>
    <row r="16" spans="1:17" ht="14.25">
      <c r="A16" s="15"/>
      <c r="B16" s="10"/>
      <c r="C16" s="22" t="s">
        <v>33</v>
      </c>
      <c r="D16" s="11"/>
      <c r="E16" s="12"/>
      <c r="F16" s="13"/>
      <c r="G16" s="13"/>
      <c r="H16" s="14">
        <f t="shared" si="1"/>
      </c>
      <c r="J16" s="27" t="str">
        <f>IF('１月'!J16="","",'１月'!J16)</f>
        <v>福利厚生費</v>
      </c>
      <c r="K16" s="28">
        <f t="shared" si="2"/>
        <v>0</v>
      </c>
      <c r="M16" s="31">
        <v>40587</v>
      </c>
      <c r="N16" s="42" t="s">
        <v>66</v>
      </c>
      <c r="O16" s="28">
        <f>SUMIF($B$5:$B$91,"2月13日",$F$5:$F$91)</f>
        <v>0</v>
      </c>
      <c r="P16" s="28">
        <f>SUMIF($B$5:$B$91,"2月13日",$G$5:$G$91)</f>
        <v>0</v>
      </c>
      <c r="Q16" s="32">
        <f t="shared" si="0"/>
        <v>0</v>
      </c>
    </row>
    <row r="17" spans="1:17" ht="14.25">
      <c r="A17" s="15"/>
      <c r="B17" s="10"/>
      <c r="C17" s="22" t="s">
        <v>33</v>
      </c>
      <c r="D17" s="11"/>
      <c r="E17" s="12"/>
      <c r="F17" s="13"/>
      <c r="G17" s="13"/>
      <c r="H17" s="14">
        <f t="shared" si="1"/>
      </c>
      <c r="J17" s="27" t="str">
        <f>IF('１月'!J17="","",'１月'!J17)</f>
        <v>給与賃金</v>
      </c>
      <c r="K17" s="28">
        <f t="shared" si="2"/>
        <v>0</v>
      </c>
      <c r="M17" s="31">
        <v>40588</v>
      </c>
      <c r="N17" s="42" t="s">
        <v>67</v>
      </c>
      <c r="O17" s="28">
        <f>SUMIF($B$5:$B$91,"2月14日",$F$5:$F$91)</f>
        <v>0</v>
      </c>
      <c r="P17" s="28">
        <f>SUMIF($B$5:$B$91,"2月14日",$G$5:$G$91)</f>
        <v>0</v>
      </c>
      <c r="Q17" s="32">
        <f t="shared" si="0"/>
        <v>0</v>
      </c>
    </row>
    <row r="18" spans="1:17" ht="14.25">
      <c r="A18" s="15"/>
      <c r="B18" s="10"/>
      <c r="C18" s="22" t="s">
        <v>33</v>
      </c>
      <c r="D18" s="11"/>
      <c r="E18" s="12"/>
      <c r="F18" s="13"/>
      <c r="G18" s="13"/>
      <c r="H18" s="14">
        <f t="shared" si="1"/>
      </c>
      <c r="J18" s="27" t="str">
        <f>IF('１月'!J18="","",'１月'!J18)</f>
        <v>利子割引料</v>
      </c>
      <c r="K18" s="28">
        <f t="shared" si="2"/>
        <v>0</v>
      </c>
      <c r="M18" s="31">
        <v>40589</v>
      </c>
      <c r="N18" s="42" t="s">
        <v>68</v>
      </c>
      <c r="O18" s="28">
        <f>SUMIF($B$5:$B$91,"2月15日",$F$5:$F$91)</f>
        <v>0</v>
      </c>
      <c r="P18" s="28">
        <f>SUMIF($B$5:$B$91,"2月15日",$G$5:$G$91)</f>
        <v>0</v>
      </c>
      <c r="Q18" s="32">
        <f t="shared" si="0"/>
        <v>0</v>
      </c>
    </row>
    <row r="19" spans="1:17" ht="14.25">
      <c r="A19" s="15"/>
      <c r="B19" s="10"/>
      <c r="C19" s="22" t="s">
        <v>33</v>
      </c>
      <c r="D19" s="11"/>
      <c r="E19" s="12"/>
      <c r="F19" s="13"/>
      <c r="G19" s="13"/>
      <c r="H19" s="14">
        <f t="shared" si="1"/>
      </c>
      <c r="J19" s="27" t="str">
        <f>IF('１月'!J19="","",'１月'!J19)</f>
        <v>地代家賃</v>
      </c>
      <c r="K19" s="28">
        <f t="shared" si="2"/>
        <v>0</v>
      </c>
      <c r="M19" s="31">
        <v>40590</v>
      </c>
      <c r="N19" s="42" t="s">
        <v>69</v>
      </c>
      <c r="O19" s="28">
        <f>SUMIF($B$5:$B$91,"2月16日",$F$5:$F$91)</f>
        <v>0</v>
      </c>
      <c r="P19" s="28">
        <f>SUMIF($B$5:$B$91,"2月16日",$G$5:$G$91)</f>
        <v>0</v>
      </c>
      <c r="Q19" s="32">
        <f t="shared" si="0"/>
        <v>0</v>
      </c>
    </row>
    <row r="20" spans="1:17" ht="14.25">
      <c r="A20" s="15"/>
      <c r="B20" s="10"/>
      <c r="C20" s="22" t="s">
        <v>33</v>
      </c>
      <c r="D20" s="11"/>
      <c r="E20" s="12"/>
      <c r="F20" s="13"/>
      <c r="G20" s="13"/>
      <c r="H20" s="14">
        <f t="shared" si="1"/>
      </c>
      <c r="J20" s="27" t="str">
        <f>IF('１月'!J20="","",'１月'!J20)</f>
        <v>貸倒金</v>
      </c>
      <c r="K20" s="28">
        <f t="shared" si="2"/>
        <v>0</v>
      </c>
      <c r="M20" s="31">
        <v>40591</v>
      </c>
      <c r="N20" s="42" t="s">
        <v>70</v>
      </c>
      <c r="O20" s="28">
        <f>SUMIF($B$5:$B$91,"2月17日",$F$5:$F$91)</f>
        <v>0</v>
      </c>
      <c r="P20" s="28">
        <f>SUMIF($B$5:$B$91,"2月17日",$G$5:$G$91)</f>
        <v>0</v>
      </c>
      <c r="Q20" s="32">
        <f t="shared" si="0"/>
        <v>0</v>
      </c>
    </row>
    <row r="21" spans="1:17" ht="14.25">
      <c r="A21" s="15"/>
      <c r="B21" s="10"/>
      <c r="C21" s="22" t="s">
        <v>33</v>
      </c>
      <c r="D21" s="11"/>
      <c r="E21" s="16"/>
      <c r="F21" s="13"/>
      <c r="G21" s="13"/>
      <c r="H21" s="14">
        <f t="shared" si="1"/>
      </c>
      <c r="J21" s="27" t="str">
        <f>IF('１月'!J21="","",'１月'!J21)</f>
        <v>専従者給与</v>
      </c>
      <c r="K21" s="28">
        <f t="shared" si="2"/>
        <v>0</v>
      </c>
      <c r="M21" s="31">
        <v>40592</v>
      </c>
      <c r="N21" s="42" t="s">
        <v>71</v>
      </c>
      <c r="O21" s="28">
        <f>SUMIF($B$5:$B$91,"2月18日",$F$5:$F$91)</f>
        <v>0</v>
      </c>
      <c r="P21" s="28">
        <f>SUMIF($B$5:$B$91,"2月18日",$G$5:$G$91)</f>
        <v>0</v>
      </c>
      <c r="Q21" s="32">
        <f t="shared" si="0"/>
        <v>0</v>
      </c>
    </row>
    <row r="22" spans="1:17" ht="14.25">
      <c r="A22" s="15"/>
      <c r="B22" s="10"/>
      <c r="C22" s="22" t="s">
        <v>33</v>
      </c>
      <c r="D22" s="11"/>
      <c r="E22" s="12"/>
      <c r="F22" s="13"/>
      <c r="G22" s="13"/>
      <c r="H22" s="14">
        <f t="shared" si="1"/>
      </c>
      <c r="J22" s="27" t="str">
        <f>IF('１月'!J22="","",'１月'!J22)</f>
        <v>リース料</v>
      </c>
      <c r="K22" s="28">
        <f t="shared" si="2"/>
        <v>0</v>
      </c>
      <c r="M22" s="31">
        <v>40593</v>
      </c>
      <c r="N22" s="42" t="s">
        <v>72</v>
      </c>
      <c r="O22" s="28">
        <f>SUMIF($B$5:$B$91,"2月19日",$F$5:$F$91)</f>
        <v>0</v>
      </c>
      <c r="P22" s="28">
        <f>SUMIF($B$5:$B$91,"2月19日",$G$5:$G$91)</f>
        <v>0</v>
      </c>
      <c r="Q22" s="32">
        <f t="shared" si="0"/>
        <v>0</v>
      </c>
    </row>
    <row r="23" spans="1:17" ht="14.25">
      <c r="A23" s="15"/>
      <c r="B23" s="10"/>
      <c r="C23" s="22" t="s">
        <v>33</v>
      </c>
      <c r="D23" s="11"/>
      <c r="E23" s="12"/>
      <c r="F23" s="13"/>
      <c r="G23" s="13"/>
      <c r="H23" s="14">
        <f t="shared" si="1"/>
      </c>
      <c r="J23" s="27" t="str">
        <f>IF('１月'!J23="","",'１月'!J23)</f>
        <v>外注費</v>
      </c>
      <c r="K23" s="28">
        <f t="shared" si="2"/>
        <v>0</v>
      </c>
      <c r="M23" s="31">
        <v>40594</v>
      </c>
      <c r="N23" s="42" t="s">
        <v>66</v>
      </c>
      <c r="O23" s="28">
        <f>SUMIF($B$5:$B$91,"2月20日",$F$5:$F$91)</f>
        <v>0</v>
      </c>
      <c r="P23" s="28">
        <f>SUMIF($B$5:$B$91,"2月20日",$G$5:$G$91)</f>
        <v>0</v>
      </c>
      <c r="Q23" s="32">
        <f t="shared" si="0"/>
        <v>0</v>
      </c>
    </row>
    <row r="24" spans="1:17" ht="14.25">
      <c r="A24" s="15"/>
      <c r="B24" s="10"/>
      <c r="C24" s="22" t="s">
        <v>33</v>
      </c>
      <c r="D24" s="11"/>
      <c r="E24" s="12"/>
      <c r="F24" s="13"/>
      <c r="G24" s="13"/>
      <c r="H24" s="14">
        <f t="shared" si="1"/>
      </c>
      <c r="J24" s="27">
        <f>IF('１月'!J24="","",'１月'!J24)</f>
      </c>
      <c r="K24" s="28">
        <f t="shared" si="2"/>
        <v>0</v>
      </c>
      <c r="M24" s="31">
        <v>40595</v>
      </c>
      <c r="N24" s="42" t="s">
        <v>67</v>
      </c>
      <c r="O24" s="28">
        <f>SUMIF($B$5:$B$91,"2月21日",$F$5:$F$91)</f>
        <v>0</v>
      </c>
      <c r="P24" s="28">
        <f>SUMIF($B$5:$B$91,"2月21日",$G$5:$G$91)</f>
        <v>0</v>
      </c>
      <c r="Q24" s="32">
        <f t="shared" si="0"/>
        <v>0</v>
      </c>
    </row>
    <row r="25" spans="1:17" ht="14.25">
      <c r="A25" s="15"/>
      <c r="B25" s="10"/>
      <c r="C25" s="22" t="s">
        <v>33</v>
      </c>
      <c r="D25" s="11"/>
      <c r="E25" s="12"/>
      <c r="F25" s="13"/>
      <c r="G25" s="13"/>
      <c r="H25" s="14">
        <f t="shared" si="1"/>
      </c>
      <c r="J25" s="27" t="str">
        <f>IF('１月'!J25="","",'１月'!J25)</f>
        <v>　</v>
      </c>
      <c r="K25" s="28">
        <f t="shared" si="2"/>
        <v>0</v>
      </c>
      <c r="M25" s="31">
        <v>40596</v>
      </c>
      <c r="N25" s="42" t="s">
        <v>68</v>
      </c>
      <c r="O25" s="28">
        <f>SUMIF($B$5:$B$91,"2月22日",$F$5:$F$91)</f>
        <v>0</v>
      </c>
      <c r="P25" s="28">
        <f>SUMIF($B$5:$B$91,"2月22日",$G$5:$G$91)</f>
        <v>0</v>
      </c>
      <c r="Q25" s="32">
        <f t="shared" si="0"/>
        <v>0</v>
      </c>
    </row>
    <row r="26" spans="1:17" ht="14.25">
      <c r="A26" s="15"/>
      <c r="B26" s="10"/>
      <c r="C26" s="22" t="s">
        <v>33</v>
      </c>
      <c r="D26" s="11"/>
      <c r="E26" s="12"/>
      <c r="F26" s="13"/>
      <c r="G26" s="13"/>
      <c r="H26" s="14">
        <f t="shared" si="1"/>
      </c>
      <c r="J26" s="27">
        <f>IF('１月'!J26="","",'１月'!J26)</f>
      </c>
      <c r="K26" s="28">
        <f t="shared" si="2"/>
        <v>0</v>
      </c>
      <c r="M26" s="31">
        <v>40597</v>
      </c>
      <c r="N26" s="42" t="s">
        <v>69</v>
      </c>
      <c r="O26" s="28">
        <f>SUMIF($B$5:$B$91,"2月23日",$F$5:$F$91)</f>
        <v>0</v>
      </c>
      <c r="P26" s="28">
        <f>SUMIF($B$5:$B$91,"2月23日",$G$5:$G$91)</f>
        <v>0</v>
      </c>
      <c r="Q26" s="32">
        <f t="shared" si="0"/>
        <v>0</v>
      </c>
    </row>
    <row r="27" spans="1:17" ht="14.25">
      <c r="A27" s="15"/>
      <c r="B27" s="10"/>
      <c r="C27" s="22" t="s">
        <v>33</v>
      </c>
      <c r="D27" s="11"/>
      <c r="E27" s="12"/>
      <c r="F27" s="13"/>
      <c r="G27" s="13"/>
      <c r="H27" s="14">
        <f t="shared" si="1"/>
      </c>
      <c r="J27" s="27">
        <f>IF('１月'!J27="","",'１月'!J27)</f>
      </c>
      <c r="K27" s="28">
        <f t="shared" si="2"/>
        <v>0</v>
      </c>
      <c r="M27" s="31">
        <v>40598</v>
      </c>
      <c r="N27" s="42" t="s">
        <v>70</v>
      </c>
      <c r="O27" s="28">
        <f>SUMIF($B$5:$B$91,"2月24日",$F$5:$F$91)</f>
        <v>0</v>
      </c>
      <c r="P27" s="28">
        <f>SUMIF($B$5:$B$91,"2月24日",$G$5:$G$91)</f>
        <v>0</v>
      </c>
      <c r="Q27" s="32">
        <f t="shared" si="0"/>
        <v>0</v>
      </c>
    </row>
    <row r="28" spans="1:17" ht="14.25">
      <c r="A28" s="15"/>
      <c r="B28" s="10"/>
      <c r="C28" s="22" t="s">
        <v>33</v>
      </c>
      <c r="D28" s="11"/>
      <c r="E28" s="12"/>
      <c r="F28" s="13"/>
      <c r="G28" s="13"/>
      <c r="H28" s="14">
        <f t="shared" si="1"/>
      </c>
      <c r="J28" s="27" t="str">
        <f>IF('１月'!J28="","",'１月'!J28)</f>
        <v>雑費</v>
      </c>
      <c r="K28" s="28">
        <f t="shared" si="2"/>
        <v>0</v>
      </c>
      <c r="M28" s="31">
        <v>40599</v>
      </c>
      <c r="N28" s="42" t="s">
        <v>71</v>
      </c>
      <c r="O28" s="28">
        <f>SUMIF($B$5:$B$91,"2月25日",$F$5:$F$91)</f>
        <v>0</v>
      </c>
      <c r="P28" s="28">
        <f>SUMIF($B$5:$B$91,"2月25日",$G$5:$G$91)</f>
        <v>0</v>
      </c>
      <c r="Q28" s="32">
        <f t="shared" si="0"/>
        <v>0</v>
      </c>
    </row>
    <row r="29" spans="1:17" ht="14.25">
      <c r="A29" s="15"/>
      <c r="B29" s="10"/>
      <c r="C29" s="22" t="s">
        <v>33</v>
      </c>
      <c r="D29" s="11"/>
      <c r="E29" s="12"/>
      <c r="F29" s="13"/>
      <c r="G29" s="13"/>
      <c r="H29" s="14">
        <f t="shared" si="1"/>
      </c>
      <c r="J29" s="27" t="str">
        <f>IF('１月'!J29="","",'１月'!J29)</f>
        <v>経費合計</v>
      </c>
      <c r="K29" s="28">
        <f>SUM(K6:K28)</f>
        <v>0</v>
      </c>
      <c r="M29" s="31">
        <v>40600</v>
      </c>
      <c r="N29" s="42" t="s">
        <v>72</v>
      </c>
      <c r="O29" s="28">
        <f>SUMIF($B$5:$B$91,"2月26日",$F$5:$F$91)</f>
        <v>0</v>
      </c>
      <c r="P29" s="28">
        <f>SUMIF($B$5:$B$91,"2月26日",$G$5:$G$91)</f>
        <v>0</v>
      </c>
      <c r="Q29" s="32">
        <f t="shared" si="0"/>
        <v>0</v>
      </c>
    </row>
    <row r="30" spans="1:17" ht="14.25">
      <c r="A30" s="15"/>
      <c r="B30" s="10"/>
      <c r="C30" s="22" t="s">
        <v>33</v>
      </c>
      <c r="D30" s="11"/>
      <c r="E30" s="12"/>
      <c r="F30" s="13"/>
      <c r="G30" s="13"/>
      <c r="H30" s="14">
        <f t="shared" si="1"/>
      </c>
      <c r="J30" s="27" t="str">
        <f>IF('１月'!J30="","",'１月'!J30)</f>
        <v>利益</v>
      </c>
      <c r="K30" s="28">
        <f>K5-K29</f>
        <v>0</v>
      </c>
      <c r="M30" s="31">
        <v>40601</v>
      </c>
      <c r="N30" s="42" t="s">
        <v>66</v>
      </c>
      <c r="O30" s="28">
        <f>SUMIF($B$5:$B$91,"2月27日",$F$5:$F$91)</f>
        <v>0</v>
      </c>
      <c r="P30" s="28">
        <f>SUMIF($B$5:$B$91,"2月27日",$G$5:$G$91)</f>
        <v>0</v>
      </c>
      <c r="Q30" s="32">
        <f t="shared" si="0"/>
        <v>0</v>
      </c>
    </row>
    <row r="31" spans="1:17" ht="13.5">
      <c r="A31" s="15"/>
      <c r="B31" s="10"/>
      <c r="C31" s="22" t="s">
        <v>33</v>
      </c>
      <c r="D31" s="11"/>
      <c r="E31" s="12"/>
      <c r="F31" s="13"/>
      <c r="G31" s="13"/>
      <c r="H31" s="14">
        <f t="shared" si="1"/>
      </c>
      <c r="J31" s="27" t="str">
        <f>IF('１月'!J31="","",'１月'!J31)</f>
        <v>入金</v>
      </c>
      <c r="K31" s="28">
        <f>SUMIF($C$5:$C$91,J31,$F$5:$F$91)</f>
        <v>0</v>
      </c>
      <c r="M31" s="31">
        <v>40602</v>
      </c>
      <c r="N31" s="42" t="s">
        <v>67</v>
      </c>
      <c r="O31" s="28">
        <f>SUMIF($B$5:$B$91,"2月28日",$F$5:$F$91)</f>
        <v>0</v>
      </c>
      <c r="P31" s="28">
        <f>SUMIF($B$5:$B$91,"2月28日",$G$5:$G$91)</f>
        <v>0</v>
      </c>
      <c r="Q31" s="32">
        <f>O31-P31</f>
        <v>0</v>
      </c>
    </row>
    <row r="32" spans="1:17" ht="13.5">
      <c r="A32" s="15"/>
      <c r="B32" s="10"/>
      <c r="C32" s="22" t="s">
        <v>33</v>
      </c>
      <c r="D32" s="11"/>
      <c r="E32" s="12"/>
      <c r="F32" s="13"/>
      <c r="G32" s="13"/>
      <c r="H32" s="14">
        <f t="shared" si="1"/>
      </c>
      <c r="J32" s="27" t="str">
        <f>IF('１月'!J32="","",'１月'!J32)</f>
        <v>その他支払い</v>
      </c>
      <c r="K32" s="28">
        <f>SUMIF($C$5:$C$91,J32,$G$5:$G$91)</f>
        <v>0</v>
      </c>
      <c r="M32" s="31"/>
      <c r="N32" s="42"/>
      <c r="O32" s="28">
        <f>SUMIF($B$5:$B$91,"2月29日",$F$5:$F$91)</f>
        <v>0</v>
      </c>
      <c r="P32" s="28">
        <f>SUMIF($B$5:$B$91,"2月29日",$G$5:$G$91)</f>
        <v>0</v>
      </c>
      <c r="Q32" s="32">
        <f>O32-P32</f>
        <v>0</v>
      </c>
    </row>
    <row r="33" spans="1:17" ht="13.5">
      <c r="A33" s="15"/>
      <c r="B33" s="10"/>
      <c r="C33" s="22" t="s">
        <v>33</v>
      </c>
      <c r="D33" s="11"/>
      <c r="E33" s="12"/>
      <c r="F33" s="13"/>
      <c r="G33" s="13"/>
      <c r="H33" s="14">
        <f t="shared" si="1"/>
      </c>
      <c r="M33" s="31"/>
      <c r="N33" s="36"/>
      <c r="O33" s="28">
        <f>SUM(O4:O32)</f>
        <v>0</v>
      </c>
      <c r="P33" s="28">
        <f>SUM(P4:P32)</f>
        <v>0</v>
      </c>
      <c r="Q33" s="32">
        <f t="shared" si="0"/>
        <v>0</v>
      </c>
    </row>
    <row r="34" spans="1:16" ht="13.5">
      <c r="A34" s="15"/>
      <c r="B34" s="10"/>
      <c r="C34" s="22" t="s">
        <v>33</v>
      </c>
      <c r="D34" s="11"/>
      <c r="E34" s="12"/>
      <c r="F34" s="13"/>
      <c r="G34" s="13"/>
      <c r="H34" s="14">
        <f t="shared" si="1"/>
      </c>
      <c r="M34" s="23"/>
      <c r="N34" s="24"/>
      <c r="O34" s="3"/>
      <c r="P34" s="3"/>
    </row>
    <row r="35" spans="1:16" ht="13.5">
      <c r="A35" s="15"/>
      <c r="B35" s="10"/>
      <c r="C35" s="22" t="s">
        <v>33</v>
      </c>
      <c r="D35" s="11"/>
      <c r="E35" s="12"/>
      <c r="F35" s="13"/>
      <c r="G35" s="13"/>
      <c r="H35" s="14">
        <f t="shared" si="1"/>
      </c>
      <c r="M35" s="23"/>
      <c r="N35" s="24"/>
      <c r="O35" s="3"/>
      <c r="P35" s="3"/>
    </row>
    <row r="36" spans="1:16" ht="13.5">
      <c r="A36" s="15"/>
      <c r="B36" s="10"/>
      <c r="C36" s="22" t="s">
        <v>33</v>
      </c>
      <c r="D36" s="11"/>
      <c r="E36" s="12"/>
      <c r="F36" s="13"/>
      <c r="G36" s="13"/>
      <c r="H36" s="14">
        <f t="shared" si="1"/>
      </c>
      <c r="O36" s="25"/>
      <c r="P36" s="25"/>
    </row>
    <row r="37" spans="1:11" ht="13.5">
      <c r="A37" s="15"/>
      <c r="B37" s="10"/>
      <c r="C37" s="22" t="s">
        <v>33</v>
      </c>
      <c r="D37" s="11"/>
      <c r="E37" s="12"/>
      <c r="F37" s="13"/>
      <c r="G37" s="13"/>
      <c r="H37" s="14">
        <f t="shared" si="1"/>
      </c>
      <c r="J37" s="27">
        <f>IF('１月'!J37="","",'１月'!J37)</f>
      </c>
      <c r="K37" s="28">
        <f aca="true" t="shared" si="3" ref="K37:K46">SUMIF($D$5:$D$91,J37,$G$5:$G$91)</f>
        <v>0</v>
      </c>
    </row>
    <row r="38" spans="1:11" ht="13.5">
      <c r="A38" s="15"/>
      <c r="B38" s="10"/>
      <c r="C38" s="22" t="s">
        <v>33</v>
      </c>
      <c r="D38" s="11"/>
      <c r="E38" s="12"/>
      <c r="F38" s="13"/>
      <c r="G38" s="13"/>
      <c r="H38" s="14">
        <f t="shared" si="1"/>
      </c>
      <c r="J38" s="27">
        <f>IF('１月'!J38="","",'１月'!J38)</f>
      </c>
      <c r="K38" s="28">
        <f t="shared" si="3"/>
        <v>0</v>
      </c>
    </row>
    <row r="39" spans="1:11" ht="13.5">
      <c r="A39" s="15"/>
      <c r="B39" s="10"/>
      <c r="C39" s="22" t="s">
        <v>33</v>
      </c>
      <c r="D39" s="11"/>
      <c r="E39" s="12"/>
      <c r="F39" s="13"/>
      <c r="G39" s="13"/>
      <c r="H39" s="14">
        <f t="shared" si="1"/>
      </c>
      <c r="J39" s="27">
        <f>IF('１月'!J39="","",'１月'!J39)</f>
      </c>
      <c r="K39" s="28">
        <f t="shared" si="3"/>
        <v>0</v>
      </c>
    </row>
    <row r="40" spans="1:11" ht="13.5">
      <c r="A40" s="15"/>
      <c r="B40" s="10"/>
      <c r="C40" s="22" t="s">
        <v>33</v>
      </c>
      <c r="D40" s="11"/>
      <c r="E40" s="12"/>
      <c r="F40" s="13"/>
      <c r="G40" s="13"/>
      <c r="H40" s="14">
        <f t="shared" si="1"/>
      </c>
      <c r="J40" s="27">
        <f>IF('１月'!J40="","",'１月'!J40)</f>
      </c>
      <c r="K40" s="28">
        <f t="shared" si="3"/>
        <v>0</v>
      </c>
    </row>
    <row r="41" spans="1:11" ht="13.5">
      <c r="A41" s="15"/>
      <c r="B41" s="10"/>
      <c r="C41" s="22" t="s">
        <v>33</v>
      </c>
      <c r="D41" s="11"/>
      <c r="E41" s="12"/>
      <c r="F41" s="13"/>
      <c r="G41" s="13"/>
      <c r="H41" s="14">
        <f t="shared" si="1"/>
      </c>
      <c r="J41" s="27">
        <f>IF('１月'!J41="","",'１月'!J41)</f>
      </c>
      <c r="K41" s="28">
        <f t="shared" si="3"/>
        <v>0</v>
      </c>
    </row>
    <row r="42" spans="1:11" ht="13.5">
      <c r="A42" s="15"/>
      <c r="B42" s="10"/>
      <c r="C42" s="22" t="s">
        <v>33</v>
      </c>
      <c r="D42" s="11"/>
      <c r="E42" s="12"/>
      <c r="F42" s="13"/>
      <c r="G42" s="13"/>
      <c r="H42" s="14">
        <f t="shared" si="1"/>
      </c>
      <c r="J42" s="27">
        <f>IF('１月'!J42="","",'１月'!J42)</f>
      </c>
      <c r="K42" s="28">
        <f t="shared" si="3"/>
        <v>0</v>
      </c>
    </row>
    <row r="43" spans="1:11" ht="13.5">
      <c r="A43" s="15"/>
      <c r="B43" s="10"/>
      <c r="C43" s="22" t="s">
        <v>33</v>
      </c>
      <c r="D43" s="11"/>
      <c r="E43" s="12"/>
      <c r="F43" s="13"/>
      <c r="G43" s="13"/>
      <c r="H43" s="14">
        <f t="shared" si="1"/>
      </c>
      <c r="J43" s="27">
        <f>IF('１月'!J43="","",'１月'!J43)</f>
      </c>
      <c r="K43" s="28">
        <f t="shared" si="3"/>
        <v>0</v>
      </c>
    </row>
    <row r="44" spans="1:11" ht="13.5">
      <c r="A44" s="15"/>
      <c r="B44" s="10"/>
      <c r="C44" s="22" t="s">
        <v>33</v>
      </c>
      <c r="D44" s="11"/>
      <c r="E44" s="12"/>
      <c r="F44" s="13"/>
      <c r="G44" s="13"/>
      <c r="H44" s="14">
        <f t="shared" si="1"/>
      </c>
      <c r="J44" s="27">
        <f>IF('１月'!J44="","",'１月'!J44)</f>
      </c>
      <c r="K44" s="28">
        <f t="shared" si="3"/>
        <v>0</v>
      </c>
    </row>
    <row r="45" spans="1:11" ht="13.5">
      <c r="A45" s="15"/>
      <c r="B45" s="10"/>
      <c r="C45" s="22" t="s">
        <v>33</v>
      </c>
      <c r="D45" s="11"/>
      <c r="E45" s="12"/>
      <c r="F45" s="13"/>
      <c r="G45" s="13"/>
      <c r="H45" s="14">
        <f t="shared" si="1"/>
      </c>
      <c r="J45" s="27">
        <f>IF('１月'!J45="","",'１月'!J45)</f>
      </c>
      <c r="K45" s="28">
        <f t="shared" si="3"/>
        <v>0</v>
      </c>
    </row>
    <row r="46" spans="1:11" ht="13.5">
      <c r="A46" s="15"/>
      <c r="B46" s="10"/>
      <c r="C46" s="22" t="s">
        <v>33</v>
      </c>
      <c r="D46" s="11"/>
      <c r="E46" s="12"/>
      <c r="F46" s="13"/>
      <c r="G46" s="13"/>
      <c r="H46" s="14">
        <f t="shared" si="1"/>
      </c>
      <c r="J46" s="27">
        <f>IF('１月'!J46="","",'１月'!J46)</f>
      </c>
      <c r="K46" s="28">
        <f t="shared" si="3"/>
        <v>0</v>
      </c>
    </row>
    <row r="47" spans="1:8" ht="13.5">
      <c r="A47" s="15"/>
      <c r="B47" s="10"/>
      <c r="C47" s="22" t="s">
        <v>33</v>
      </c>
      <c r="D47" s="11"/>
      <c r="E47" s="12"/>
      <c r="F47" s="13"/>
      <c r="G47" s="13"/>
      <c r="H47" s="14">
        <f t="shared" si="1"/>
      </c>
    </row>
    <row r="48" spans="1:8" ht="13.5">
      <c r="A48" s="15"/>
      <c r="B48" s="10"/>
      <c r="C48" s="22" t="s">
        <v>33</v>
      </c>
      <c r="D48" s="11"/>
      <c r="E48" s="12"/>
      <c r="F48" s="13"/>
      <c r="G48" s="13"/>
      <c r="H48" s="14">
        <f t="shared" si="1"/>
      </c>
    </row>
    <row r="49" spans="1:8" ht="13.5">
      <c r="A49" s="15"/>
      <c r="B49" s="10"/>
      <c r="C49" s="22" t="s">
        <v>33</v>
      </c>
      <c r="D49" s="11"/>
      <c r="E49" s="12"/>
      <c r="F49" s="13"/>
      <c r="G49" s="13"/>
      <c r="H49" s="14">
        <f t="shared" si="1"/>
      </c>
    </row>
    <row r="50" spans="1:8" ht="13.5">
      <c r="A50" s="15"/>
      <c r="B50" s="10"/>
      <c r="C50" s="22" t="s">
        <v>33</v>
      </c>
      <c r="D50" s="11"/>
      <c r="E50" s="12"/>
      <c r="F50" s="13"/>
      <c r="G50" s="13"/>
      <c r="H50" s="14">
        <f t="shared" si="1"/>
      </c>
    </row>
    <row r="51" spans="1:8" ht="13.5">
      <c r="A51" s="15"/>
      <c r="B51" s="10"/>
      <c r="C51" s="22" t="s">
        <v>33</v>
      </c>
      <c r="D51" s="11"/>
      <c r="E51" s="12"/>
      <c r="F51" s="13"/>
      <c r="G51" s="13"/>
      <c r="H51" s="14">
        <f t="shared" si="1"/>
      </c>
    </row>
    <row r="52" spans="1:8" ht="13.5">
      <c r="A52" s="15"/>
      <c r="B52" s="10"/>
      <c r="C52" s="22" t="s">
        <v>33</v>
      </c>
      <c r="D52" s="11"/>
      <c r="E52" s="12"/>
      <c r="F52" s="13"/>
      <c r="G52" s="13"/>
      <c r="H52" s="14">
        <f t="shared" si="1"/>
      </c>
    </row>
    <row r="53" spans="1:8" ht="13.5">
      <c r="A53" s="15"/>
      <c r="B53" s="10"/>
      <c r="C53" s="22" t="s">
        <v>33</v>
      </c>
      <c r="D53" s="11"/>
      <c r="E53" s="12"/>
      <c r="F53" s="13"/>
      <c r="G53" s="13"/>
      <c r="H53" s="14">
        <f t="shared" si="1"/>
      </c>
    </row>
    <row r="54" spans="1:8" ht="13.5">
      <c r="A54" s="15"/>
      <c r="B54" s="10"/>
      <c r="C54" s="22" t="s">
        <v>33</v>
      </c>
      <c r="D54" s="11"/>
      <c r="E54" s="12"/>
      <c r="F54" s="13"/>
      <c r="G54" s="13"/>
      <c r="H54" s="14">
        <f t="shared" si="1"/>
      </c>
    </row>
    <row r="55" spans="1:8" ht="13.5">
      <c r="A55" s="15"/>
      <c r="B55" s="10"/>
      <c r="C55" s="22" t="s">
        <v>33</v>
      </c>
      <c r="D55" s="11"/>
      <c r="E55" s="12"/>
      <c r="F55" s="13"/>
      <c r="G55" s="13"/>
      <c r="H55" s="14">
        <f t="shared" si="1"/>
      </c>
    </row>
    <row r="56" spans="1:8" ht="13.5">
      <c r="A56" s="15"/>
      <c r="B56" s="10"/>
      <c r="C56" s="22" t="s">
        <v>33</v>
      </c>
      <c r="D56" s="11"/>
      <c r="E56" s="12"/>
      <c r="F56" s="13"/>
      <c r="G56" s="13"/>
      <c r="H56" s="14">
        <f t="shared" si="1"/>
      </c>
    </row>
    <row r="57" spans="1:8" ht="13.5">
      <c r="A57" s="15"/>
      <c r="B57" s="10"/>
      <c r="C57" s="22" t="s">
        <v>33</v>
      </c>
      <c r="D57" s="11"/>
      <c r="E57" s="12"/>
      <c r="F57" s="13"/>
      <c r="G57" s="13"/>
      <c r="H57" s="14">
        <f t="shared" si="1"/>
      </c>
    </row>
    <row r="58" spans="1:8" ht="13.5">
      <c r="A58" s="15"/>
      <c r="B58" s="10"/>
      <c r="C58" s="22" t="s">
        <v>33</v>
      </c>
      <c r="D58" s="11"/>
      <c r="E58" s="12"/>
      <c r="F58" s="13"/>
      <c r="G58" s="13"/>
      <c r="H58" s="14">
        <f t="shared" si="1"/>
      </c>
    </row>
    <row r="59" spans="1:8" ht="13.5">
      <c r="A59" s="15"/>
      <c r="B59" s="10"/>
      <c r="C59" s="22" t="s">
        <v>33</v>
      </c>
      <c r="D59" s="11"/>
      <c r="E59" s="12"/>
      <c r="F59" s="13"/>
      <c r="G59" s="13"/>
      <c r="H59" s="14">
        <f t="shared" si="1"/>
      </c>
    </row>
    <row r="60" spans="1:8" ht="13.5">
      <c r="A60" s="15"/>
      <c r="B60" s="10"/>
      <c r="C60" s="22" t="s">
        <v>33</v>
      </c>
      <c r="D60" s="11"/>
      <c r="E60" s="12"/>
      <c r="F60" s="13"/>
      <c r="G60" s="13"/>
      <c r="H60" s="14">
        <f t="shared" si="1"/>
      </c>
    </row>
    <row r="61" spans="1:8" ht="13.5">
      <c r="A61" s="15"/>
      <c r="B61" s="10"/>
      <c r="C61" s="22" t="s">
        <v>33</v>
      </c>
      <c r="D61" s="11"/>
      <c r="E61" s="12"/>
      <c r="F61" s="13"/>
      <c r="G61" s="13"/>
      <c r="H61" s="14">
        <f t="shared" si="1"/>
      </c>
    </row>
    <row r="62" spans="1:8" ht="13.5">
      <c r="A62" s="15"/>
      <c r="B62" s="10"/>
      <c r="C62" s="22" t="s">
        <v>33</v>
      </c>
      <c r="D62" s="11"/>
      <c r="E62" s="12"/>
      <c r="F62" s="13"/>
      <c r="G62" s="13"/>
      <c r="H62" s="14">
        <f t="shared" si="1"/>
      </c>
    </row>
    <row r="63" spans="1:8" ht="13.5">
      <c r="A63" s="15"/>
      <c r="B63" s="10"/>
      <c r="C63" s="22" t="s">
        <v>33</v>
      </c>
      <c r="D63" s="11"/>
      <c r="E63" s="12"/>
      <c r="F63" s="13"/>
      <c r="G63" s="13"/>
      <c r="H63" s="14">
        <f t="shared" si="1"/>
      </c>
    </row>
    <row r="64" spans="1:8" ht="13.5">
      <c r="A64" s="15"/>
      <c r="B64" s="10"/>
      <c r="C64" s="22" t="s">
        <v>33</v>
      </c>
      <c r="D64" s="11"/>
      <c r="E64" s="12"/>
      <c r="F64" s="13"/>
      <c r="G64" s="13"/>
      <c r="H64" s="14">
        <f t="shared" si="1"/>
      </c>
    </row>
    <row r="65" spans="1:8" ht="13.5">
      <c r="A65" s="15"/>
      <c r="B65" s="10"/>
      <c r="C65" s="22" t="s">
        <v>33</v>
      </c>
      <c r="D65" s="11"/>
      <c r="E65" s="12"/>
      <c r="F65" s="13"/>
      <c r="G65" s="13"/>
      <c r="H65" s="14">
        <f t="shared" si="1"/>
      </c>
    </row>
    <row r="66" spans="1:8" ht="13.5">
      <c r="A66" s="15"/>
      <c r="B66" s="10"/>
      <c r="C66" s="22" t="s">
        <v>33</v>
      </c>
      <c r="D66" s="11"/>
      <c r="E66" s="12"/>
      <c r="F66" s="13"/>
      <c r="G66" s="13"/>
      <c r="H66" s="14">
        <f t="shared" si="1"/>
      </c>
    </row>
    <row r="67" spans="1:8" ht="13.5">
      <c r="A67" s="15"/>
      <c r="B67" s="10"/>
      <c r="C67" s="22" t="s">
        <v>33</v>
      </c>
      <c r="D67" s="11"/>
      <c r="E67" s="12"/>
      <c r="F67" s="13"/>
      <c r="G67" s="13"/>
      <c r="H67" s="14">
        <f t="shared" si="1"/>
      </c>
    </row>
    <row r="68" spans="1:8" ht="13.5">
      <c r="A68" s="15"/>
      <c r="B68" s="10"/>
      <c r="C68" s="22" t="s">
        <v>33</v>
      </c>
      <c r="D68" s="11"/>
      <c r="E68" s="12"/>
      <c r="F68" s="13"/>
      <c r="G68" s="13"/>
      <c r="H68" s="14">
        <f t="shared" si="1"/>
      </c>
    </row>
    <row r="69" spans="1:8" ht="13.5">
      <c r="A69" s="15"/>
      <c r="B69" s="10"/>
      <c r="C69" s="22" t="s">
        <v>33</v>
      </c>
      <c r="D69" s="11"/>
      <c r="E69" s="12"/>
      <c r="F69" s="13"/>
      <c r="G69" s="13"/>
      <c r="H69" s="14">
        <f t="shared" si="1"/>
      </c>
    </row>
    <row r="70" spans="1:8" ht="13.5">
      <c r="A70" s="15"/>
      <c r="B70" s="10"/>
      <c r="C70" s="22" t="s">
        <v>33</v>
      </c>
      <c r="D70" s="11"/>
      <c r="E70" s="12"/>
      <c r="F70" s="13"/>
      <c r="G70" s="13"/>
      <c r="H70" s="14">
        <f aca="true" t="shared" si="4" ref="H70:H91">IF(OR(H69="",AND(F70="",G70="")),"",H69+F70-G70)</f>
      </c>
    </row>
    <row r="71" spans="1:8" ht="13.5">
      <c r="A71" s="15"/>
      <c r="B71" s="10"/>
      <c r="C71" s="22" t="s">
        <v>33</v>
      </c>
      <c r="D71" s="11"/>
      <c r="E71" s="12"/>
      <c r="F71" s="13"/>
      <c r="G71" s="13"/>
      <c r="H71" s="14">
        <f t="shared" si="4"/>
      </c>
    </row>
    <row r="72" spans="1:8" ht="13.5">
      <c r="A72" s="15"/>
      <c r="B72" s="10"/>
      <c r="C72" s="22" t="s">
        <v>33</v>
      </c>
      <c r="D72" s="11"/>
      <c r="E72" s="12"/>
      <c r="F72" s="13"/>
      <c r="G72" s="13"/>
      <c r="H72" s="14">
        <f t="shared" si="4"/>
      </c>
    </row>
    <row r="73" spans="1:8" ht="13.5">
      <c r="A73" s="15"/>
      <c r="B73" s="10"/>
      <c r="C73" s="22" t="s">
        <v>33</v>
      </c>
      <c r="D73" s="11"/>
      <c r="E73" s="12"/>
      <c r="F73" s="13"/>
      <c r="G73" s="13"/>
      <c r="H73" s="14">
        <f t="shared" si="4"/>
      </c>
    </row>
    <row r="74" spans="1:8" ht="13.5">
      <c r="A74" s="15"/>
      <c r="B74" s="10"/>
      <c r="C74" s="22" t="s">
        <v>33</v>
      </c>
      <c r="D74" s="11"/>
      <c r="E74" s="12"/>
      <c r="F74" s="13"/>
      <c r="G74" s="13"/>
      <c r="H74" s="14">
        <f t="shared" si="4"/>
      </c>
    </row>
    <row r="75" spans="1:8" ht="13.5">
      <c r="A75" s="15"/>
      <c r="B75" s="10"/>
      <c r="C75" s="22" t="s">
        <v>33</v>
      </c>
      <c r="D75" s="11"/>
      <c r="E75" s="12"/>
      <c r="F75" s="13"/>
      <c r="G75" s="13"/>
      <c r="H75" s="14">
        <f t="shared" si="4"/>
      </c>
    </row>
    <row r="76" spans="1:8" ht="13.5">
      <c r="A76" s="15"/>
      <c r="B76" s="10"/>
      <c r="C76" s="22" t="s">
        <v>33</v>
      </c>
      <c r="D76" s="11"/>
      <c r="E76" s="12"/>
      <c r="F76" s="13"/>
      <c r="G76" s="13"/>
      <c r="H76" s="14">
        <f t="shared" si="4"/>
      </c>
    </row>
    <row r="77" spans="1:8" ht="13.5">
      <c r="A77" s="15"/>
      <c r="B77" s="10"/>
      <c r="C77" s="22" t="s">
        <v>33</v>
      </c>
      <c r="D77" s="11"/>
      <c r="E77" s="12"/>
      <c r="F77" s="13"/>
      <c r="G77" s="13"/>
      <c r="H77" s="14">
        <f t="shared" si="4"/>
      </c>
    </row>
    <row r="78" spans="1:8" ht="13.5">
      <c r="A78" s="15"/>
      <c r="B78" s="10"/>
      <c r="C78" s="22" t="s">
        <v>33</v>
      </c>
      <c r="D78" s="11"/>
      <c r="E78" s="12"/>
      <c r="F78" s="13"/>
      <c r="G78" s="13"/>
      <c r="H78" s="14">
        <f t="shared" si="4"/>
      </c>
    </row>
    <row r="79" spans="1:8" ht="13.5">
      <c r="A79" s="15"/>
      <c r="B79" s="10"/>
      <c r="C79" s="22" t="s">
        <v>33</v>
      </c>
      <c r="D79" s="11"/>
      <c r="E79" s="12"/>
      <c r="F79" s="13"/>
      <c r="G79" s="13"/>
      <c r="H79" s="14">
        <f t="shared" si="4"/>
      </c>
    </row>
    <row r="80" spans="1:8" ht="13.5">
      <c r="A80" s="15"/>
      <c r="B80" s="10"/>
      <c r="C80" s="22" t="s">
        <v>33</v>
      </c>
      <c r="D80" s="11"/>
      <c r="E80" s="12"/>
      <c r="F80" s="13"/>
      <c r="G80" s="13"/>
      <c r="H80" s="14">
        <f t="shared" si="4"/>
      </c>
    </row>
    <row r="81" spans="1:8" ht="13.5">
      <c r="A81" s="15"/>
      <c r="B81" s="10"/>
      <c r="C81" s="22" t="s">
        <v>33</v>
      </c>
      <c r="D81" s="11"/>
      <c r="E81" s="12"/>
      <c r="F81" s="13"/>
      <c r="G81" s="13"/>
      <c r="H81" s="14">
        <f t="shared" si="4"/>
      </c>
    </row>
    <row r="82" spans="1:8" ht="13.5">
      <c r="A82" s="15"/>
      <c r="B82" s="10"/>
      <c r="C82" s="22" t="s">
        <v>33</v>
      </c>
      <c r="D82" s="11"/>
      <c r="E82" s="12"/>
      <c r="F82" s="13"/>
      <c r="G82" s="13"/>
      <c r="H82" s="14">
        <f t="shared" si="4"/>
      </c>
    </row>
    <row r="83" spans="1:8" ht="13.5">
      <c r="A83" s="15"/>
      <c r="B83" s="10"/>
      <c r="C83" s="22" t="s">
        <v>33</v>
      </c>
      <c r="D83" s="11"/>
      <c r="E83" s="12"/>
      <c r="F83" s="13"/>
      <c r="G83" s="13"/>
      <c r="H83" s="14">
        <f t="shared" si="4"/>
      </c>
    </row>
    <row r="84" spans="1:8" ht="13.5">
      <c r="A84" s="15"/>
      <c r="B84" s="10"/>
      <c r="C84" s="22" t="s">
        <v>33</v>
      </c>
      <c r="D84" s="11"/>
      <c r="E84" s="12"/>
      <c r="F84" s="13"/>
      <c r="G84" s="13"/>
      <c r="H84" s="14">
        <f t="shared" si="4"/>
      </c>
    </row>
    <row r="85" spans="1:8" ht="13.5">
      <c r="A85" s="15"/>
      <c r="B85" s="10"/>
      <c r="C85" s="22" t="s">
        <v>33</v>
      </c>
      <c r="D85" s="11"/>
      <c r="E85" s="12"/>
      <c r="F85" s="13"/>
      <c r="G85" s="13"/>
      <c r="H85" s="14">
        <f t="shared" si="4"/>
      </c>
    </row>
    <row r="86" spans="1:8" ht="13.5">
      <c r="A86" s="15"/>
      <c r="B86" s="10"/>
      <c r="C86" s="22" t="s">
        <v>33</v>
      </c>
      <c r="D86" s="11"/>
      <c r="E86" s="12"/>
      <c r="F86" s="13"/>
      <c r="G86" s="13"/>
      <c r="H86" s="14">
        <f t="shared" si="4"/>
      </c>
    </row>
    <row r="87" spans="1:8" ht="13.5">
      <c r="A87" s="15"/>
      <c r="B87" s="10"/>
      <c r="C87" s="22" t="s">
        <v>33</v>
      </c>
      <c r="D87" s="11"/>
      <c r="E87" s="12"/>
      <c r="F87" s="13"/>
      <c r="G87" s="13"/>
      <c r="H87" s="14">
        <f t="shared" si="4"/>
      </c>
    </row>
    <row r="88" spans="1:8" ht="13.5">
      <c r="A88" s="15"/>
      <c r="B88" s="10"/>
      <c r="C88" s="22" t="s">
        <v>33</v>
      </c>
      <c r="D88" s="11"/>
      <c r="E88" s="12"/>
      <c r="F88" s="13"/>
      <c r="G88" s="13"/>
      <c r="H88" s="14">
        <f t="shared" si="4"/>
      </c>
    </row>
    <row r="89" spans="1:8" ht="13.5">
      <c r="A89" s="15"/>
      <c r="B89" s="10"/>
      <c r="C89" s="22" t="s">
        <v>33</v>
      </c>
      <c r="D89" s="11"/>
      <c r="E89" s="12"/>
      <c r="F89" s="13"/>
      <c r="G89" s="13"/>
      <c r="H89" s="14">
        <f t="shared" si="4"/>
      </c>
    </row>
    <row r="90" spans="1:8" ht="13.5">
      <c r="A90" s="15"/>
      <c r="B90" s="10"/>
      <c r="C90" s="22" t="s">
        <v>33</v>
      </c>
      <c r="D90" s="11"/>
      <c r="E90" s="12"/>
      <c r="F90" s="13"/>
      <c r="G90" s="13"/>
      <c r="H90" s="14">
        <f t="shared" si="4"/>
      </c>
    </row>
    <row r="91" spans="1:8" ht="14.25" thickBot="1">
      <c r="A91" s="15"/>
      <c r="B91" s="10"/>
      <c r="C91" s="22" t="s">
        <v>33</v>
      </c>
      <c r="D91" s="11"/>
      <c r="E91" s="12"/>
      <c r="F91" s="13"/>
      <c r="G91" s="13"/>
      <c r="H91" s="14">
        <f t="shared" si="4"/>
      </c>
    </row>
    <row r="92" spans="1:8" ht="14.25" thickBot="1">
      <c r="A92" s="15"/>
      <c r="B92" s="17"/>
      <c r="C92" s="18"/>
      <c r="D92" s="18"/>
      <c r="E92" s="19" t="s">
        <v>8</v>
      </c>
      <c r="F92" s="20"/>
      <c r="G92" s="20"/>
      <c r="H92" s="21">
        <f>IF(AND(SUM(F5:F91)=0,SUM(G5:G91)=0),"",SUM(F5:F91)-SUM(G5:G91)+H4)</f>
      </c>
    </row>
  </sheetData>
  <sheetProtection/>
  <mergeCells count="1">
    <mergeCell ref="B1:C1"/>
  </mergeCells>
  <dataValidations count="2">
    <dataValidation type="list" allowBlank="1" showInputMessage="1" showErrorMessage="1" sqref="C5:C91">
      <formula1>$J$3:$J$32</formula1>
    </dataValidation>
    <dataValidation type="list" allowBlank="1" showInputMessage="1" showErrorMessage="1" sqref="D5:D91">
      <formula1>$J$37:$J$46</formula1>
    </dataValidation>
  </dataValidations>
  <printOptions/>
  <pageMargins left="0.75" right="0.75" top="1" bottom="1" header="0.512" footer="0.512"/>
  <pageSetup orientation="portrait" paperSize="9"/>
  <ignoredErrors>
    <ignoredError sqref="K5" formula="1"/>
  </ignoredErrors>
  <legacyDrawing r:id="rId2"/>
</worksheet>
</file>

<file path=xl/worksheets/sheet3.xml><?xml version="1.0" encoding="utf-8"?>
<worksheet xmlns="http://schemas.openxmlformats.org/spreadsheetml/2006/main" xmlns:r="http://schemas.openxmlformats.org/officeDocument/2006/relationships">
  <dimension ref="A1:Q92"/>
  <sheetViews>
    <sheetView zoomScalePageLayoutView="0" workbookViewId="0" topLeftCell="A1">
      <selection activeCell="J24" sqref="J24"/>
    </sheetView>
  </sheetViews>
  <sheetFormatPr defaultColWidth="9.00390625" defaultRowHeight="13.5"/>
  <cols>
    <col min="3" max="3" width="10.875" style="0" customWidth="1"/>
    <col min="4" max="4" width="18.125" style="0" customWidth="1"/>
    <col min="5" max="5" width="22.25390625" style="0" customWidth="1"/>
    <col min="6" max="7" width="11.875" style="0" customWidth="1"/>
    <col min="8" max="8" width="13.125" style="0" customWidth="1"/>
    <col min="10" max="10" width="12.75390625" style="0" bestFit="1" customWidth="1"/>
    <col min="14" max="14" width="5.25390625" style="0" bestFit="1" customWidth="1"/>
  </cols>
  <sheetData>
    <row r="1" spans="1:11" ht="23.25">
      <c r="A1" s="1"/>
      <c r="B1" s="38" t="s">
        <v>9</v>
      </c>
      <c r="C1" s="39"/>
      <c r="D1" s="2"/>
      <c r="E1" s="2"/>
      <c r="F1" s="2"/>
      <c r="G1" s="2"/>
      <c r="H1" s="2"/>
      <c r="K1" s="3"/>
    </row>
    <row r="2" spans="1:11" ht="15" thickBot="1">
      <c r="A2" s="1"/>
      <c r="B2" s="1"/>
      <c r="C2" s="1"/>
      <c r="D2" s="1"/>
      <c r="E2" s="1"/>
      <c r="F2" s="1"/>
      <c r="G2" s="1"/>
      <c r="H2" s="4" t="s">
        <v>44</v>
      </c>
      <c r="K2" s="3"/>
    </row>
    <row r="3" spans="1:17" ht="15" thickBot="1">
      <c r="A3" s="1"/>
      <c r="B3" s="5" t="s">
        <v>1</v>
      </c>
      <c r="C3" s="6" t="s">
        <v>2</v>
      </c>
      <c r="D3" s="7" t="s">
        <v>3</v>
      </c>
      <c r="E3" s="8" t="s">
        <v>4</v>
      </c>
      <c r="F3" s="6" t="s">
        <v>5</v>
      </c>
      <c r="G3" s="6" t="s">
        <v>6</v>
      </c>
      <c r="H3" s="9" t="s">
        <v>7</v>
      </c>
      <c r="J3" s="27" t="str">
        <f>IF('１月'!J3="","",'１月'!J3)</f>
        <v>売上</v>
      </c>
      <c r="K3" s="28">
        <f>SUMIF($C$5:$C$91,J3,$F$5:$F$91)</f>
        <v>0</v>
      </c>
      <c r="M3" s="29" t="s">
        <v>36</v>
      </c>
      <c r="N3" s="29" t="s">
        <v>37</v>
      </c>
      <c r="O3" s="30" t="s">
        <v>38</v>
      </c>
      <c r="P3" s="30" t="s">
        <v>39</v>
      </c>
      <c r="Q3" s="27"/>
    </row>
    <row r="4" spans="1:17" ht="14.25">
      <c r="A4" s="1"/>
      <c r="B4" s="10"/>
      <c r="C4" s="22" t="s">
        <v>33</v>
      </c>
      <c r="D4" s="11"/>
      <c r="E4" s="12" t="s">
        <v>35</v>
      </c>
      <c r="F4" s="13"/>
      <c r="G4" s="13"/>
      <c r="H4" s="14">
        <f>'２月'!H92</f>
      </c>
      <c r="J4" s="27" t="str">
        <f>IF('１月'!J4="","",'１月'!J4)</f>
        <v>仕入</v>
      </c>
      <c r="K4" s="28">
        <f>SUMIF($C$5:$C$91,J4,$G$5:$G$91)</f>
        <v>0</v>
      </c>
      <c r="M4" s="31">
        <v>40603</v>
      </c>
      <c r="N4" s="42" t="s">
        <v>74</v>
      </c>
      <c r="O4" s="28">
        <f>SUMIF($B$5:$B$91,"3月1日",$F$5:$F$91)</f>
        <v>0</v>
      </c>
      <c r="P4" s="28">
        <f>SUMIF($B$5:$B$91,"3月1日",$G$5:$G$91)</f>
        <v>0</v>
      </c>
      <c r="Q4" s="32">
        <f>O4-P4</f>
        <v>0</v>
      </c>
    </row>
    <row r="5" spans="1:17" ht="14.25">
      <c r="A5" s="1"/>
      <c r="B5" s="10"/>
      <c r="C5" s="22" t="s">
        <v>33</v>
      </c>
      <c r="D5" s="11"/>
      <c r="E5" s="12"/>
      <c r="F5" s="13"/>
      <c r="G5" s="13"/>
      <c r="H5" s="14">
        <f>IF(OR(H4="",AND(F5="",G5="")),"",H4+F5-G5)</f>
      </c>
      <c r="J5" s="27" t="str">
        <f>IF('１月'!J5="","",'１月'!J5)</f>
        <v>製造原価</v>
      </c>
      <c r="K5" s="28">
        <f>K3-K4</f>
        <v>0</v>
      </c>
      <c r="M5" s="31">
        <v>40604</v>
      </c>
      <c r="N5" s="42" t="s">
        <v>69</v>
      </c>
      <c r="O5" s="28">
        <f>SUMIF($B$5:$B$91,"3月2日",$F$5:$F$91)</f>
        <v>0</v>
      </c>
      <c r="P5" s="28">
        <f>SUMIF($B$5:$B$91,"3月2日",$G$5:$G$91)</f>
        <v>0</v>
      </c>
      <c r="Q5" s="32">
        <f aca="true" t="shared" si="0" ref="Q5:Q35">O5-P5</f>
        <v>0</v>
      </c>
    </row>
    <row r="6" spans="1:17" ht="14.25">
      <c r="A6" s="1"/>
      <c r="B6" s="10"/>
      <c r="C6" s="22" t="s">
        <v>33</v>
      </c>
      <c r="D6" s="11"/>
      <c r="E6" s="12"/>
      <c r="F6" s="13"/>
      <c r="G6" s="13"/>
      <c r="H6" s="14">
        <f aca="true" t="shared" si="1" ref="H6:H69">IF(OR(H5="",AND(F6="",G6="")),"",H5+F6-G6)</f>
      </c>
      <c r="J6" s="27" t="str">
        <f>IF('１月'!J6="","",'１月'!J6)</f>
        <v>租税公課</v>
      </c>
      <c r="K6" s="28">
        <f>SUMIF($C$5:$C$91,J6,$G$5:$G$91)</f>
        <v>0</v>
      </c>
      <c r="M6" s="31">
        <v>40605</v>
      </c>
      <c r="N6" s="42" t="s">
        <v>70</v>
      </c>
      <c r="O6" s="28">
        <f>SUMIF($B$5:$B$91,"3月3日",$F$5:$F$91)</f>
        <v>0</v>
      </c>
      <c r="P6" s="28">
        <f>SUMIF($B$5:$B$91,"3月3日",$G$5:$G$91)</f>
        <v>0</v>
      </c>
      <c r="Q6" s="32">
        <f t="shared" si="0"/>
        <v>0</v>
      </c>
    </row>
    <row r="7" spans="1:17" ht="14.25">
      <c r="A7" s="1"/>
      <c r="B7" s="10"/>
      <c r="C7" s="22" t="s">
        <v>33</v>
      </c>
      <c r="D7" s="11"/>
      <c r="E7" s="12"/>
      <c r="F7" s="13"/>
      <c r="G7" s="13"/>
      <c r="H7" s="14">
        <f t="shared" si="1"/>
      </c>
      <c r="J7" s="27" t="str">
        <f>IF('１月'!J7="","",'１月'!J7)</f>
        <v>荷造運賃</v>
      </c>
      <c r="K7" s="28">
        <f aca="true" t="shared" si="2" ref="K7:K28">SUMIF($C$5:$C$91,J7,$G$5:$G$91)</f>
        <v>0</v>
      </c>
      <c r="M7" s="31">
        <v>40606</v>
      </c>
      <c r="N7" s="42" t="s">
        <v>71</v>
      </c>
      <c r="O7" s="28">
        <f>SUMIF($B$5:$B$91,"3月4日",$F$5:$F$91)</f>
        <v>0</v>
      </c>
      <c r="P7" s="28">
        <f>SUMIF($B$5:$B$91,"3月4日",$G$5:$G$91)</f>
        <v>0</v>
      </c>
      <c r="Q7" s="32">
        <f t="shared" si="0"/>
        <v>0</v>
      </c>
    </row>
    <row r="8" spans="1:17" ht="14.25">
      <c r="A8" s="1"/>
      <c r="B8" s="10"/>
      <c r="C8" s="22" t="s">
        <v>33</v>
      </c>
      <c r="D8" s="11"/>
      <c r="E8" s="12"/>
      <c r="F8" s="13"/>
      <c r="G8" s="13"/>
      <c r="H8" s="14">
        <f t="shared" si="1"/>
      </c>
      <c r="J8" s="27" t="str">
        <f>IF('１月'!J8="","",'１月'!J8)</f>
        <v>水道光熱費</v>
      </c>
      <c r="K8" s="28">
        <f t="shared" si="2"/>
        <v>0</v>
      </c>
      <c r="M8" s="31">
        <v>40607</v>
      </c>
      <c r="N8" s="42" t="s">
        <v>72</v>
      </c>
      <c r="O8" s="28">
        <f>SUMIF($B$5:$B$91,"3月5日",$F$5:$F$91)</f>
        <v>0</v>
      </c>
      <c r="P8" s="28">
        <f>SUMIF($B$5:$B$91,"3月5日",$G$5:$G$91)</f>
        <v>0</v>
      </c>
      <c r="Q8" s="32">
        <f t="shared" si="0"/>
        <v>0</v>
      </c>
    </row>
    <row r="9" spans="1:17" ht="14.25">
      <c r="A9" s="1"/>
      <c r="B9" s="10"/>
      <c r="C9" s="22" t="s">
        <v>33</v>
      </c>
      <c r="D9" s="11"/>
      <c r="E9" s="12"/>
      <c r="F9" s="13"/>
      <c r="G9" s="13"/>
      <c r="H9" s="14">
        <f t="shared" si="1"/>
      </c>
      <c r="J9" s="27" t="str">
        <f>IF('１月'!J9="","",'１月'!J9)</f>
        <v>旅費交通費</v>
      </c>
      <c r="K9" s="28">
        <f t="shared" si="2"/>
        <v>0</v>
      </c>
      <c r="M9" s="31">
        <v>40608</v>
      </c>
      <c r="N9" s="42" t="s">
        <v>66</v>
      </c>
      <c r="O9" s="28">
        <f>SUMIF($B$5:$B$91,"3月6日",$F$5:$F$91)</f>
        <v>0</v>
      </c>
      <c r="P9" s="28">
        <f>SUMIF($B$5:$B$91,"3月6日",$G$5:$G$91)</f>
        <v>0</v>
      </c>
      <c r="Q9" s="32">
        <f t="shared" si="0"/>
        <v>0</v>
      </c>
    </row>
    <row r="10" spans="1:17" ht="14.25">
      <c r="A10" s="15"/>
      <c r="B10" s="10"/>
      <c r="C10" s="22" t="s">
        <v>33</v>
      </c>
      <c r="D10" s="11"/>
      <c r="E10" s="12"/>
      <c r="F10" s="13"/>
      <c r="G10" s="13"/>
      <c r="H10" s="14">
        <f t="shared" si="1"/>
      </c>
      <c r="J10" s="27" t="str">
        <f>IF('１月'!J10="","",'１月'!J10)</f>
        <v>通信費</v>
      </c>
      <c r="K10" s="28">
        <f t="shared" si="2"/>
        <v>0</v>
      </c>
      <c r="M10" s="31">
        <v>40609</v>
      </c>
      <c r="N10" s="42" t="s">
        <v>67</v>
      </c>
      <c r="O10" s="28">
        <f>SUMIF($B$5:$B$91,"3月7日",$F$5:$F$91)</f>
        <v>0</v>
      </c>
      <c r="P10" s="28">
        <f>SUMIF($B$5:$B$91,"3月7日",$G$5:$G$91)</f>
        <v>0</v>
      </c>
      <c r="Q10" s="32">
        <f t="shared" si="0"/>
        <v>0</v>
      </c>
    </row>
    <row r="11" spans="1:17" ht="14.25">
      <c r="A11" s="15"/>
      <c r="B11" s="10"/>
      <c r="C11" s="22" t="s">
        <v>33</v>
      </c>
      <c r="D11" s="11"/>
      <c r="E11" s="12"/>
      <c r="F11" s="13"/>
      <c r="G11" s="13"/>
      <c r="H11" s="14">
        <f t="shared" si="1"/>
      </c>
      <c r="J11" s="27" t="str">
        <f>IF('１月'!J11="","",'１月'!J11)</f>
        <v>広告宣伝費</v>
      </c>
      <c r="K11" s="28">
        <f t="shared" si="2"/>
        <v>0</v>
      </c>
      <c r="M11" s="31">
        <v>40610</v>
      </c>
      <c r="N11" s="42" t="s">
        <v>68</v>
      </c>
      <c r="O11" s="28">
        <f>SUMIF($B$5:$B$91,"3月8日",$F$5:$F$91)</f>
        <v>0</v>
      </c>
      <c r="P11" s="28">
        <f>SUMIF($B$5:$B$91,"3月8日",$G$5:$G$91)</f>
        <v>0</v>
      </c>
      <c r="Q11" s="32">
        <f t="shared" si="0"/>
        <v>0</v>
      </c>
    </row>
    <row r="12" spans="1:17" ht="14.25">
      <c r="A12" s="15"/>
      <c r="B12" s="10"/>
      <c r="C12" s="22" t="s">
        <v>33</v>
      </c>
      <c r="D12" s="11"/>
      <c r="E12" s="12"/>
      <c r="F12" s="13"/>
      <c r="G12" s="13"/>
      <c r="H12" s="14">
        <f t="shared" si="1"/>
      </c>
      <c r="J12" s="27" t="str">
        <f>IF('１月'!J12="","",'１月'!J12)</f>
        <v>接待交際費</v>
      </c>
      <c r="K12" s="28">
        <f t="shared" si="2"/>
        <v>0</v>
      </c>
      <c r="M12" s="31">
        <v>40611</v>
      </c>
      <c r="N12" s="42" t="s">
        <v>69</v>
      </c>
      <c r="O12" s="28">
        <f>SUMIF($B$5:$B$91,"3月9日",$F$5:$F$91)</f>
        <v>0</v>
      </c>
      <c r="P12" s="28">
        <f>SUMIF($B$5:$B$91,"3月9日",$G$5:$G$91)</f>
        <v>0</v>
      </c>
      <c r="Q12" s="32">
        <f t="shared" si="0"/>
        <v>0</v>
      </c>
    </row>
    <row r="13" spans="1:17" ht="14.25">
      <c r="A13" s="15"/>
      <c r="B13" s="10"/>
      <c r="C13" s="22" t="s">
        <v>33</v>
      </c>
      <c r="D13" s="11"/>
      <c r="E13" s="12"/>
      <c r="F13" s="13"/>
      <c r="G13" s="13"/>
      <c r="H13" s="14">
        <f t="shared" si="1"/>
      </c>
      <c r="J13" s="27" t="str">
        <f>IF('１月'!J13="","",'１月'!J13)</f>
        <v>損害保険料</v>
      </c>
      <c r="K13" s="28">
        <f t="shared" si="2"/>
        <v>0</v>
      </c>
      <c r="M13" s="31">
        <v>40612</v>
      </c>
      <c r="N13" s="42" t="s">
        <v>70</v>
      </c>
      <c r="O13" s="28">
        <f>SUMIF($B$5:$B$91,"3月10日",$F$5:$F$91)</f>
        <v>0</v>
      </c>
      <c r="P13" s="28">
        <f>SUMIF($B$5:$B$91,"3月10日",$G$5:$G$91)</f>
        <v>0</v>
      </c>
      <c r="Q13" s="32">
        <f t="shared" si="0"/>
        <v>0</v>
      </c>
    </row>
    <row r="14" spans="1:17" ht="14.25">
      <c r="A14" s="15"/>
      <c r="B14" s="10"/>
      <c r="C14" s="22" t="s">
        <v>33</v>
      </c>
      <c r="D14" s="11"/>
      <c r="E14" s="12"/>
      <c r="F14" s="13"/>
      <c r="G14" s="13"/>
      <c r="H14" s="14">
        <f t="shared" si="1"/>
      </c>
      <c r="J14" s="27" t="str">
        <f>IF('１月'!J14="","",'１月'!J14)</f>
        <v>修繕費</v>
      </c>
      <c r="K14" s="28">
        <f t="shared" si="2"/>
        <v>0</v>
      </c>
      <c r="M14" s="31">
        <v>40613</v>
      </c>
      <c r="N14" s="42" t="s">
        <v>71</v>
      </c>
      <c r="O14" s="28">
        <f>SUMIF($B$5:$B$91,"3月11日",$F$5:$F$91)</f>
        <v>0</v>
      </c>
      <c r="P14" s="28">
        <f>SUMIF($B$5:$B$91,"3月11日",$G$5:$G$91)</f>
        <v>0</v>
      </c>
      <c r="Q14" s="32">
        <f t="shared" si="0"/>
        <v>0</v>
      </c>
    </row>
    <row r="15" spans="1:17" ht="14.25">
      <c r="A15" s="15"/>
      <c r="B15" s="10"/>
      <c r="C15" s="22" t="s">
        <v>33</v>
      </c>
      <c r="D15" s="11"/>
      <c r="E15" s="16"/>
      <c r="F15" s="13"/>
      <c r="G15" s="13"/>
      <c r="H15" s="14">
        <f t="shared" si="1"/>
      </c>
      <c r="J15" s="27" t="str">
        <f>IF('１月'!J15="","",'１月'!J15)</f>
        <v>消耗品費</v>
      </c>
      <c r="K15" s="28">
        <f t="shared" si="2"/>
        <v>0</v>
      </c>
      <c r="M15" s="31">
        <v>40614</v>
      </c>
      <c r="N15" s="42" t="s">
        <v>72</v>
      </c>
      <c r="O15" s="28">
        <f>SUMIF($B$5:$B$91,"3月12日",$F$5:$F$91)</f>
        <v>0</v>
      </c>
      <c r="P15" s="28">
        <f>SUMIF($B$5:$B$91,"3月12日",$G$5:$G$91)</f>
        <v>0</v>
      </c>
      <c r="Q15" s="32">
        <f t="shared" si="0"/>
        <v>0</v>
      </c>
    </row>
    <row r="16" spans="1:17" ht="14.25">
      <c r="A16" s="15"/>
      <c r="B16" s="10"/>
      <c r="C16" s="22" t="s">
        <v>33</v>
      </c>
      <c r="D16" s="11"/>
      <c r="E16" s="12"/>
      <c r="F16" s="13"/>
      <c r="G16" s="13"/>
      <c r="H16" s="14">
        <f t="shared" si="1"/>
      </c>
      <c r="J16" s="27" t="str">
        <f>IF('１月'!J16="","",'１月'!J16)</f>
        <v>福利厚生費</v>
      </c>
      <c r="K16" s="28">
        <f t="shared" si="2"/>
        <v>0</v>
      </c>
      <c r="M16" s="31">
        <v>40615</v>
      </c>
      <c r="N16" s="42" t="s">
        <v>66</v>
      </c>
      <c r="O16" s="28">
        <f>SUMIF($B$5:$B$91,"3月13日",$F$5:$F$91)</f>
        <v>0</v>
      </c>
      <c r="P16" s="28">
        <f>SUMIF($B$5:$B$91,"3月13日",$G$5:$G$91)</f>
        <v>0</v>
      </c>
      <c r="Q16" s="32">
        <f t="shared" si="0"/>
        <v>0</v>
      </c>
    </row>
    <row r="17" spans="1:17" ht="14.25">
      <c r="A17" s="15"/>
      <c r="B17" s="10"/>
      <c r="C17" s="22" t="s">
        <v>33</v>
      </c>
      <c r="D17" s="11"/>
      <c r="E17" s="12"/>
      <c r="F17" s="13"/>
      <c r="G17" s="13"/>
      <c r="H17" s="14">
        <f t="shared" si="1"/>
      </c>
      <c r="J17" s="27" t="str">
        <f>IF('１月'!J17="","",'１月'!J17)</f>
        <v>給与賃金</v>
      </c>
      <c r="K17" s="28">
        <f t="shared" si="2"/>
        <v>0</v>
      </c>
      <c r="M17" s="31">
        <v>40616</v>
      </c>
      <c r="N17" s="42" t="s">
        <v>67</v>
      </c>
      <c r="O17" s="28">
        <f>SUMIF($B$5:$B$91,"3月14日",$F$5:$F$91)</f>
        <v>0</v>
      </c>
      <c r="P17" s="28">
        <f>SUMIF($B$5:$B$91,"3月14日",$G$5:$G$91)</f>
        <v>0</v>
      </c>
      <c r="Q17" s="32">
        <f t="shared" si="0"/>
        <v>0</v>
      </c>
    </row>
    <row r="18" spans="1:17" ht="14.25">
      <c r="A18" s="15"/>
      <c r="B18" s="10"/>
      <c r="C18" s="22" t="s">
        <v>33</v>
      </c>
      <c r="D18" s="11"/>
      <c r="E18" s="12"/>
      <c r="F18" s="13"/>
      <c r="G18" s="13"/>
      <c r="H18" s="14">
        <f t="shared" si="1"/>
      </c>
      <c r="J18" s="27" t="str">
        <f>IF('１月'!J18="","",'１月'!J18)</f>
        <v>利子割引料</v>
      </c>
      <c r="K18" s="28">
        <f t="shared" si="2"/>
        <v>0</v>
      </c>
      <c r="M18" s="31">
        <v>40617</v>
      </c>
      <c r="N18" s="42" t="s">
        <v>68</v>
      </c>
      <c r="O18" s="28">
        <f>SUMIF($B$5:$B$91,"3月15日",$F$5:$F$91)</f>
        <v>0</v>
      </c>
      <c r="P18" s="28">
        <f>SUMIF($B$5:$B$91,"3月15日",$G$5:$G$91)</f>
        <v>0</v>
      </c>
      <c r="Q18" s="32">
        <f t="shared" si="0"/>
        <v>0</v>
      </c>
    </row>
    <row r="19" spans="1:17" ht="14.25">
      <c r="A19" s="15"/>
      <c r="B19" s="10"/>
      <c r="C19" s="22" t="s">
        <v>33</v>
      </c>
      <c r="D19" s="11"/>
      <c r="E19" s="12"/>
      <c r="F19" s="13"/>
      <c r="G19" s="13"/>
      <c r="H19" s="14">
        <f t="shared" si="1"/>
      </c>
      <c r="J19" s="27" t="str">
        <f>IF('１月'!J19="","",'１月'!J19)</f>
        <v>地代家賃</v>
      </c>
      <c r="K19" s="28">
        <f t="shared" si="2"/>
        <v>0</v>
      </c>
      <c r="M19" s="31">
        <v>40618</v>
      </c>
      <c r="N19" s="42" t="s">
        <v>69</v>
      </c>
      <c r="O19" s="28">
        <f>SUMIF($B$5:$B$91,"3月16日",$F$5:$F$91)</f>
        <v>0</v>
      </c>
      <c r="P19" s="28">
        <f>SUMIF($B$5:$B$91,"3月16日",$G$5:$G$91)</f>
        <v>0</v>
      </c>
      <c r="Q19" s="32">
        <f t="shared" si="0"/>
        <v>0</v>
      </c>
    </row>
    <row r="20" spans="1:17" ht="14.25">
      <c r="A20" s="15"/>
      <c r="B20" s="10"/>
      <c r="C20" s="22" t="s">
        <v>33</v>
      </c>
      <c r="D20" s="11"/>
      <c r="E20" s="12"/>
      <c r="F20" s="13"/>
      <c r="G20" s="13"/>
      <c r="H20" s="14">
        <f t="shared" si="1"/>
      </c>
      <c r="J20" s="27" t="str">
        <f>IF('１月'!J20="","",'１月'!J20)</f>
        <v>貸倒金</v>
      </c>
      <c r="K20" s="28">
        <f t="shared" si="2"/>
        <v>0</v>
      </c>
      <c r="M20" s="31">
        <v>40619</v>
      </c>
      <c r="N20" s="42" t="s">
        <v>70</v>
      </c>
      <c r="O20" s="28">
        <f>SUMIF($B$5:$B$91,"3月17日",$F$5:$F$91)</f>
        <v>0</v>
      </c>
      <c r="P20" s="28">
        <f>SUMIF($B$5:$B$91,"3月17日",$G$5:$G$91)</f>
        <v>0</v>
      </c>
      <c r="Q20" s="32">
        <f t="shared" si="0"/>
        <v>0</v>
      </c>
    </row>
    <row r="21" spans="1:17" ht="14.25">
      <c r="A21" s="15"/>
      <c r="B21" s="10"/>
      <c r="C21" s="22" t="s">
        <v>33</v>
      </c>
      <c r="D21" s="11"/>
      <c r="E21" s="16"/>
      <c r="F21" s="13"/>
      <c r="G21" s="13"/>
      <c r="H21" s="14">
        <f t="shared" si="1"/>
      </c>
      <c r="J21" s="27" t="str">
        <f>IF('１月'!J21="","",'１月'!J21)</f>
        <v>専従者給与</v>
      </c>
      <c r="K21" s="28">
        <f t="shared" si="2"/>
        <v>0</v>
      </c>
      <c r="M21" s="31">
        <v>40620</v>
      </c>
      <c r="N21" s="42" t="s">
        <v>71</v>
      </c>
      <c r="O21" s="28">
        <f>SUMIF($B$5:$B$91,"3月18日",$F$5:$F$91)</f>
        <v>0</v>
      </c>
      <c r="P21" s="28">
        <f>SUMIF($B$5:$B$91,"3月18日",$G$5:$G$91)</f>
        <v>0</v>
      </c>
      <c r="Q21" s="32">
        <f t="shared" si="0"/>
        <v>0</v>
      </c>
    </row>
    <row r="22" spans="1:17" ht="14.25">
      <c r="A22" s="15"/>
      <c r="B22" s="10"/>
      <c r="C22" s="22" t="s">
        <v>33</v>
      </c>
      <c r="D22" s="11"/>
      <c r="E22" s="12"/>
      <c r="F22" s="13"/>
      <c r="G22" s="13"/>
      <c r="H22" s="14">
        <f t="shared" si="1"/>
      </c>
      <c r="J22" s="27" t="str">
        <f>IF('１月'!J22="","",'１月'!J22)</f>
        <v>リース料</v>
      </c>
      <c r="K22" s="28">
        <f t="shared" si="2"/>
        <v>0</v>
      </c>
      <c r="M22" s="31">
        <v>40621</v>
      </c>
      <c r="N22" s="42" t="s">
        <v>72</v>
      </c>
      <c r="O22" s="28">
        <f>SUMIF($B$5:$B$91,"3月19日",$F$5:$F$91)</f>
        <v>0</v>
      </c>
      <c r="P22" s="28">
        <f>SUMIF($B$5:$B$91,"3月19日",$G$5:$G$91)</f>
        <v>0</v>
      </c>
      <c r="Q22" s="32">
        <f t="shared" si="0"/>
        <v>0</v>
      </c>
    </row>
    <row r="23" spans="1:17" ht="14.25">
      <c r="A23" s="15"/>
      <c r="B23" s="10"/>
      <c r="C23" s="22" t="s">
        <v>33</v>
      </c>
      <c r="D23" s="11"/>
      <c r="E23" s="12"/>
      <c r="F23" s="13"/>
      <c r="G23" s="13"/>
      <c r="H23" s="14">
        <f t="shared" si="1"/>
      </c>
      <c r="J23" s="27" t="str">
        <f>IF('１月'!J23="","",'１月'!J23)</f>
        <v>外注費</v>
      </c>
      <c r="K23" s="28">
        <f t="shared" si="2"/>
        <v>0</v>
      </c>
      <c r="M23" s="31">
        <v>40622</v>
      </c>
      <c r="N23" s="42" t="s">
        <v>66</v>
      </c>
      <c r="O23" s="28">
        <f>SUMIF($B$5:$B$91,"3月20日",$F$5:$F$91)</f>
        <v>0</v>
      </c>
      <c r="P23" s="28">
        <f>SUMIF($B$5:$B$91,"3月20日",$G$5:$G$91)</f>
        <v>0</v>
      </c>
      <c r="Q23" s="32">
        <f t="shared" si="0"/>
        <v>0</v>
      </c>
    </row>
    <row r="24" spans="1:17" ht="14.25">
      <c r="A24" s="15"/>
      <c r="B24" s="10"/>
      <c r="C24" s="22" t="s">
        <v>33</v>
      </c>
      <c r="D24" s="11"/>
      <c r="E24" s="12"/>
      <c r="F24" s="13"/>
      <c r="G24" s="13"/>
      <c r="H24" s="14">
        <f t="shared" si="1"/>
      </c>
      <c r="J24" s="27">
        <f>IF('１月'!J24="","",'１月'!J24)</f>
      </c>
      <c r="K24" s="28">
        <f t="shared" si="2"/>
        <v>0</v>
      </c>
      <c r="M24" s="31">
        <v>40623</v>
      </c>
      <c r="N24" s="42" t="s">
        <v>67</v>
      </c>
      <c r="O24" s="28">
        <f>SUMIF($B$5:$B$91,"3月21日",$F$5:$F$91)</f>
        <v>0</v>
      </c>
      <c r="P24" s="28">
        <f>SUMIF($B$5:$B$91,"3月21日",$G$5:$G$91)</f>
        <v>0</v>
      </c>
      <c r="Q24" s="32">
        <f t="shared" si="0"/>
        <v>0</v>
      </c>
    </row>
    <row r="25" spans="1:17" ht="14.25">
      <c r="A25" s="15"/>
      <c r="B25" s="10"/>
      <c r="C25" s="22" t="s">
        <v>33</v>
      </c>
      <c r="D25" s="11"/>
      <c r="E25" s="12"/>
      <c r="F25" s="13"/>
      <c r="G25" s="13"/>
      <c r="H25" s="14">
        <f t="shared" si="1"/>
      </c>
      <c r="J25" s="27" t="str">
        <f>IF('１月'!J25="","",'１月'!J25)</f>
        <v>　</v>
      </c>
      <c r="K25" s="28">
        <f t="shared" si="2"/>
        <v>0</v>
      </c>
      <c r="M25" s="31">
        <v>40624</v>
      </c>
      <c r="N25" s="42" t="s">
        <v>68</v>
      </c>
      <c r="O25" s="28">
        <f>SUMIF($B$5:$B$91,"3月22日",$F$5:$F$91)</f>
        <v>0</v>
      </c>
      <c r="P25" s="28">
        <f>SUMIF($B$5:$B$91,"3月22日",$G$5:$G$91)</f>
        <v>0</v>
      </c>
      <c r="Q25" s="32">
        <f t="shared" si="0"/>
        <v>0</v>
      </c>
    </row>
    <row r="26" spans="1:17" ht="14.25">
      <c r="A26" s="15"/>
      <c r="B26" s="10"/>
      <c r="C26" s="22" t="s">
        <v>33</v>
      </c>
      <c r="D26" s="11"/>
      <c r="E26" s="12"/>
      <c r="F26" s="13"/>
      <c r="G26" s="13"/>
      <c r="H26" s="14">
        <f t="shared" si="1"/>
      </c>
      <c r="J26" s="27">
        <f>IF('１月'!J26="","",'１月'!J26)</f>
      </c>
      <c r="K26" s="28">
        <f t="shared" si="2"/>
        <v>0</v>
      </c>
      <c r="M26" s="31">
        <v>40625</v>
      </c>
      <c r="N26" s="42" t="s">
        <v>69</v>
      </c>
      <c r="O26" s="28">
        <f>SUMIF($B$5:$B$91,"3月23日",$F$5:$F$91)</f>
        <v>0</v>
      </c>
      <c r="P26" s="28">
        <f>SUMIF($B$5:$B$91,"3月23日",$G$5:$G$91)</f>
        <v>0</v>
      </c>
      <c r="Q26" s="32">
        <f t="shared" si="0"/>
        <v>0</v>
      </c>
    </row>
    <row r="27" spans="1:17" ht="14.25">
      <c r="A27" s="15"/>
      <c r="B27" s="10"/>
      <c r="C27" s="22" t="s">
        <v>33</v>
      </c>
      <c r="D27" s="11"/>
      <c r="E27" s="12"/>
      <c r="F27" s="13"/>
      <c r="G27" s="13"/>
      <c r="H27" s="14">
        <f t="shared" si="1"/>
      </c>
      <c r="J27" s="27">
        <f>IF('１月'!J27="","",'１月'!J27)</f>
      </c>
      <c r="K27" s="28">
        <f t="shared" si="2"/>
        <v>0</v>
      </c>
      <c r="M27" s="31">
        <v>40626</v>
      </c>
      <c r="N27" s="42" t="s">
        <v>70</v>
      </c>
      <c r="O27" s="28">
        <f>SUMIF($B$5:$B$91,"3月24日",$F$5:$F$91)</f>
        <v>0</v>
      </c>
      <c r="P27" s="28">
        <f>SUMIF($B$5:$B$91,"3月24日",$G$5:$G$91)</f>
        <v>0</v>
      </c>
      <c r="Q27" s="32">
        <f t="shared" si="0"/>
        <v>0</v>
      </c>
    </row>
    <row r="28" spans="1:17" ht="14.25">
      <c r="A28" s="15"/>
      <c r="B28" s="10"/>
      <c r="C28" s="22" t="s">
        <v>33</v>
      </c>
      <c r="D28" s="11"/>
      <c r="E28" s="12"/>
      <c r="F28" s="13"/>
      <c r="G28" s="13"/>
      <c r="H28" s="14">
        <f t="shared" si="1"/>
      </c>
      <c r="J28" s="27" t="str">
        <f>IF('１月'!J28="","",'１月'!J28)</f>
        <v>雑費</v>
      </c>
      <c r="K28" s="28">
        <f t="shared" si="2"/>
        <v>0</v>
      </c>
      <c r="M28" s="31">
        <v>40627</v>
      </c>
      <c r="N28" s="42" t="s">
        <v>71</v>
      </c>
      <c r="O28" s="28">
        <f>SUMIF($B$5:$B$91,"3月25日",$F$5:$F$91)</f>
        <v>0</v>
      </c>
      <c r="P28" s="28">
        <f>SUMIF($B$5:$B$91,"3月25日",$G$5:$G$91)</f>
        <v>0</v>
      </c>
      <c r="Q28" s="32">
        <f t="shared" si="0"/>
        <v>0</v>
      </c>
    </row>
    <row r="29" spans="1:17" ht="14.25">
      <c r="A29" s="15"/>
      <c r="B29" s="10"/>
      <c r="C29" s="22" t="s">
        <v>33</v>
      </c>
      <c r="D29" s="11"/>
      <c r="E29" s="12"/>
      <c r="F29" s="13"/>
      <c r="G29" s="13"/>
      <c r="H29" s="14">
        <f t="shared" si="1"/>
      </c>
      <c r="J29" s="27" t="str">
        <f>IF('１月'!J29="","",'１月'!J29)</f>
        <v>経費合計</v>
      </c>
      <c r="K29" s="28">
        <f>SUM(K6:K28)</f>
        <v>0</v>
      </c>
      <c r="M29" s="31">
        <v>40628</v>
      </c>
      <c r="N29" s="42" t="s">
        <v>72</v>
      </c>
      <c r="O29" s="28">
        <f>SUMIF($B$5:$B$91,"3月26日",$F$5:$F$91)</f>
        <v>0</v>
      </c>
      <c r="P29" s="28">
        <f>SUMIF($B$5:$B$91,"3月26日",$G$5:$G$91)</f>
        <v>0</v>
      </c>
      <c r="Q29" s="32">
        <f t="shared" si="0"/>
        <v>0</v>
      </c>
    </row>
    <row r="30" spans="1:17" ht="14.25">
      <c r="A30" s="15"/>
      <c r="B30" s="10"/>
      <c r="C30" s="22" t="s">
        <v>33</v>
      </c>
      <c r="D30" s="11"/>
      <c r="E30" s="12"/>
      <c r="F30" s="13"/>
      <c r="G30" s="13"/>
      <c r="H30" s="14">
        <f t="shared" si="1"/>
      </c>
      <c r="J30" s="27" t="str">
        <f>IF('１月'!J30="","",'１月'!J30)</f>
        <v>利益</v>
      </c>
      <c r="K30" s="28">
        <f>K5-K29</f>
        <v>0</v>
      </c>
      <c r="M30" s="31">
        <v>40629</v>
      </c>
      <c r="N30" s="42" t="s">
        <v>66</v>
      </c>
      <c r="O30" s="28">
        <f>SUMIF($B$5:$B$91,"3月27日",$F$5:$F$91)</f>
        <v>0</v>
      </c>
      <c r="P30" s="28">
        <f>SUMIF($B$5:$B$91,"3月27日",$G$5:$G$91)</f>
        <v>0</v>
      </c>
      <c r="Q30" s="32">
        <f t="shared" si="0"/>
        <v>0</v>
      </c>
    </row>
    <row r="31" spans="1:17" ht="13.5">
      <c r="A31" s="15"/>
      <c r="B31" s="10"/>
      <c r="C31" s="22" t="s">
        <v>33</v>
      </c>
      <c r="D31" s="11"/>
      <c r="E31" s="12"/>
      <c r="F31" s="13"/>
      <c r="G31" s="13"/>
      <c r="H31" s="14">
        <f t="shared" si="1"/>
      </c>
      <c r="J31" s="27" t="str">
        <f>IF('１月'!J31="","",'１月'!J31)</f>
        <v>入金</v>
      </c>
      <c r="K31" s="28">
        <f>SUMIF($C$5:$C$91,J31,$F$5:$F$91)</f>
        <v>0</v>
      </c>
      <c r="M31" s="31">
        <v>40630</v>
      </c>
      <c r="N31" s="42" t="s">
        <v>67</v>
      </c>
      <c r="O31" s="28">
        <f>SUMIF($B$5:$B$91,"3月28日",$F$5:$F$91)</f>
        <v>0</v>
      </c>
      <c r="P31" s="28">
        <f>SUMIF($B$5:$B$91,"3月28日",$G$5:$G$91)</f>
        <v>0</v>
      </c>
      <c r="Q31" s="32">
        <f t="shared" si="0"/>
        <v>0</v>
      </c>
    </row>
    <row r="32" spans="1:17" ht="13.5">
      <c r="A32" s="15"/>
      <c r="B32" s="10"/>
      <c r="C32" s="22" t="s">
        <v>33</v>
      </c>
      <c r="D32" s="11"/>
      <c r="E32" s="12"/>
      <c r="F32" s="13"/>
      <c r="G32" s="13"/>
      <c r="H32" s="14">
        <f t="shared" si="1"/>
      </c>
      <c r="J32" s="27" t="str">
        <f>IF('１月'!J32="","",'１月'!J32)</f>
        <v>その他支払い</v>
      </c>
      <c r="K32" s="28">
        <f>SUMIF($C$5:$C$91,J32,$G$5:$G$91)</f>
        <v>0</v>
      </c>
      <c r="M32" s="31">
        <v>40631</v>
      </c>
      <c r="N32" s="42" t="s">
        <v>68</v>
      </c>
      <c r="O32" s="28">
        <f>SUMIF($B$5:$B$91,"3月29日",$F$5:$F$91)</f>
        <v>0</v>
      </c>
      <c r="P32" s="28">
        <f>SUMIF($B$5:$B$91,"3月29日",$G$5:$G$91)</f>
        <v>0</v>
      </c>
      <c r="Q32" s="32">
        <f t="shared" si="0"/>
        <v>0</v>
      </c>
    </row>
    <row r="33" spans="1:17" ht="13.5">
      <c r="A33" s="15"/>
      <c r="B33" s="10"/>
      <c r="C33" s="22" t="s">
        <v>33</v>
      </c>
      <c r="D33" s="11"/>
      <c r="E33" s="12"/>
      <c r="F33" s="13"/>
      <c r="G33" s="13"/>
      <c r="H33" s="14">
        <f t="shared" si="1"/>
      </c>
      <c r="K33" s="3"/>
      <c r="M33" s="31">
        <v>40632</v>
      </c>
      <c r="N33" s="42" t="s">
        <v>69</v>
      </c>
      <c r="O33" s="28">
        <f>SUMIF($B$5:$B$91,"3月30日",$F$5:$F$91)</f>
        <v>0</v>
      </c>
      <c r="P33" s="28">
        <f>SUMIF($B$5:$B$91,"3月30日",$G$5:$G$91)</f>
        <v>0</v>
      </c>
      <c r="Q33" s="32">
        <f t="shared" si="0"/>
        <v>0</v>
      </c>
    </row>
    <row r="34" spans="1:17" ht="13.5">
      <c r="A34" s="15"/>
      <c r="B34" s="10"/>
      <c r="C34" s="22" t="s">
        <v>33</v>
      </c>
      <c r="D34" s="11"/>
      <c r="E34" s="12"/>
      <c r="F34" s="13"/>
      <c r="G34" s="13"/>
      <c r="H34" s="14">
        <f t="shared" si="1"/>
      </c>
      <c r="K34" s="3"/>
      <c r="M34" s="31">
        <v>40633</v>
      </c>
      <c r="N34" s="42" t="s">
        <v>70</v>
      </c>
      <c r="O34" s="28">
        <f>SUMIF($B$5:$B$91,"3月31日",$F$5:$F$91)</f>
        <v>0</v>
      </c>
      <c r="P34" s="28">
        <f>SUMIF($B$5:$B$91,"3月31日",$G$5:$G$91)</f>
        <v>0</v>
      </c>
      <c r="Q34" s="32">
        <f t="shared" si="0"/>
        <v>0</v>
      </c>
    </row>
    <row r="35" spans="1:17" ht="13.5">
      <c r="A35" s="15"/>
      <c r="B35" s="10"/>
      <c r="C35" s="22" t="s">
        <v>33</v>
      </c>
      <c r="D35" s="11"/>
      <c r="E35" s="12"/>
      <c r="F35" s="13"/>
      <c r="G35" s="13"/>
      <c r="H35" s="14">
        <f t="shared" si="1"/>
      </c>
      <c r="K35" s="3"/>
      <c r="M35" s="27"/>
      <c r="N35" s="27"/>
      <c r="O35" s="32">
        <f>SUM(O4:O34)</f>
        <v>0</v>
      </c>
      <c r="P35" s="32">
        <f>SUM(P4:P34)</f>
        <v>0</v>
      </c>
      <c r="Q35" s="32">
        <f t="shared" si="0"/>
        <v>0</v>
      </c>
    </row>
    <row r="36" spans="1:8" ht="13.5">
      <c r="A36" s="15"/>
      <c r="B36" s="10"/>
      <c r="C36" s="22" t="s">
        <v>33</v>
      </c>
      <c r="D36" s="11"/>
      <c r="E36" s="12"/>
      <c r="F36" s="13"/>
      <c r="G36" s="13"/>
      <c r="H36" s="14">
        <f t="shared" si="1"/>
      </c>
    </row>
    <row r="37" spans="1:11" ht="13.5">
      <c r="A37" s="15"/>
      <c r="B37" s="10"/>
      <c r="C37" s="22" t="s">
        <v>33</v>
      </c>
      <c r="D37" s="11"/>
      <c r="E37" s="12"/>
      <c r="F37" s="13"/>
      <c r="G37" s="13"/>
      <c r="H37" s="14">
        <f t="shared" si="1"/>
      </c>
      <c r="J37" s="27">
        <f>IF('１月'!J37="","",'１月'!J37)</f>
      </c>
      <c r="K37" s="28">
        <f aca="true" t="shared" si="3" ref="K37:K46">SUMIF($D$5:$D$91,J37,$G$5:$G$91)</f>
        <v>0</v>
      </c>
    </row>
    <row r="38" spans="1:11" ht="13.5">
      <c r="A38" s="15"/>
      <c r="B38" s="10"/>
      <c r="C38" s="22" t="s">
        <v>33</v>
      </c>
      <c r="D38" s="11"/>
      <c r="E38" s="12"/>
      <c r="F38" s="13"/>
      <c r="G38" s="13"/>
      <c r="H38" s="14">
        <f t="shared" si="1"/>
      </c>
      <c r="J38" s="27">
        <f>IF('１月'!J38="","",'１月'!J38)</f>
      </c>
      <c r="K38" s="28">
        <f t="shared" si="3"/>
        <v>0</v>
      </c>
    </row>
    <row r="39" spans="1:11" ht="13.5">
      <c r="A39" s="15"/>
      <c r="B39" s="10"/>
      <c r="C39" s="22" t="s">
        <v>33</v>
      </c>
      <c r="D39" s="11"/>
      <c r="E39" s="12"/>
      <c r="F39" s="13"/>
      <c r="G39" s="13"/>
      <c r="H39" s="14">
        <f t="shared" si="1"/>
      </c>
      <c r="J39" s="27">
        <f>IF('１月'!J39="","",'１月'!J39)</f>
      </c>
      <c r="K39" s="28">
        <f t="shared" si="3"/>
        <v>0</v>
      </c>
    </row>
    <row r="40" spans="1:11" ht="13.5">
      <c r="A40" s="15"/>
      <c r="B40" s="10"/>
      <c r="C40" s="22" t="s">
        <v>33</v>
      </c>
      <c r="D40" s="11"/>
      <c r="E40" s="12"/>
      <c r="F40" s="13"/>
      <c r="G40" s="13"/>
      <c r="H40" s="14">
        <f t="shared" si="1"/>
      </c>
      <c r="J40" s="27">
        <f>IF('１月'!J40="","",'１月'!J40)</f>
      </c>
      <c r="K40" s="28">
        <f t="shared" si="3"/>
        <v>0</v>
      </c>
    </row>
    <row r="41" spans="1:11" ht="13.5">
      <c r="A41" s="15"/>
      <c r="B41" s="10"/>
      <c r="C41" s="22" t="s">
        <v>33</v>
      </c>
      <c r="D41" s="11"/>
      <c r="E41" s="12"/>
      <c r="F41" s="13"/>
      <c r="G41" s="13"/>
      <c r="H41" s="14">
        <f t="shared" si="1"/>
      </c>
      <c r="J41" s="27">
        <f>IF('１月'!J41="","",'１月'!J41)</f>
      </c>
      <c r="K41" s="28">
        <f t="shared" si="3"/>
        <v>0</v>
      </c>
    </row>
    <row r="42" spans="1:11" ht="13.5">
      <c r="A42" s="15"/>
      <c r="B42" s="10"/>
      <c r="C42" s="22" t="s">
        <v>33</v>
      </c>
      <c r="D42" s="11"/>
      <c r="E42" s="12"/>
      <c r="F42" s="13"/>
      <c r="G42" s="13"/>
      <c r="H42" s="14">
        <f t="shared" si="1"/>
      </c>
      <c r="J42" s="27">
        <f>IF('１月'!J42="","",'１月'!J42)</f>
      </c>
      <c r="K42" s="28">
        <f t="shared" si="3"/>
        <v>0</v>
      </c>
    </row>
    <row r="43" spans="1:11" ht="13.5">
      <c r="A43" s="15"/>
      <c r="B43" s="10"/>
      <c r="C43" s="22" t="s">
        <v>33</v>
      </c>
      <c r="D43" s="11"/>
      <c r="E43" s="12"/>
      <c r="F43" s="13"/>
      <c r="G43" s="13"/>
      <c r="H43" s="14">
        <f t="shared" si="1"/>
      </c>
      <c r="J43" s="27">
        <f>IF('１月'!J43="","",'１月'!J43)</f>
      </c>
      <c r="K43" s="28">
        <f t="shared" si="3"/>
        <v>0</v>
      </c>
    </row>
    <row r="44" spans="1:11" ht="13.5">
      <c r="A44" s="15"/>
      <c r="B44" s="10"/>
      <c r="C44" s="22" t="s">
        <v>33</v>
      </c>
      <c r="D44" s="11"/>
      <c r="E44" s="12"/>
      <c r="F44" s="13"/>
      <c r="G44" s="13"/>
      <c r="H44" s="14">
        <f t="shared" si="1"/>
      </c>
      <c r="J44" s="27">
        <f>IF('１月'!J44="","",'１月'!J44)</f>
      </c>
      <c r="K44" s="28">
        <f t="shared" si="3"/>
        <v>0</v>
      </c>
    </row>
    <row r="45" spans="1:11" ht="13.5">
      <c r="A45" s="15"/>
      <c r="B45" s="10"/>
      <c r="C45" s="22" t="s">
        <v>33</v>
      </c>
      <c r="D45" s="11"/>
      <c r="E45" s="12"/>
      <c r="F45" s="13"/>
      <c r="G45" s="13"/>
      <c r="H45" s="14">
        <f t="shared" si="1"/>
      </c>
      <c r="J45" s="27">
        <f>IF('１月'!J45="","",'１月'!J45)</f>
      </c>
      <c r="K45" s="28">
        <f t="shared" si="3"/>
        <v>0</v>
      </c>
    </row>
    <row r="46" spans="1:11" ht="13.5">
      <c r="A46" s="15"/>
      <c r="B46" s="10"/>
      <c r="C46" s="22" t="s">
        <v>33</v>
      </c>
      <c r="D46" s="11"/>
      <c r="E46" s="12"/>
      <c r="F46" s="13"/>
      <c r="G46" s="13"/>
      <c r="H46" s="14">
        <f t="shared" si="1"/>
      </c>
      <c r="J46" s="27">
        <f>IF('１月'!J46="","",'１月'!J46)</f>
      </c>
      <c r="K46" s="28">
        <f t="shared" si="3"/>
        <v>0</v>
      </c>
    </row>
    <row r="47" spans="1:8" ht="13.5">
      <c r="A47" s="15"/>
      <c r="B47" s="10"/>
      <c r="C47" s="22" t="s">
        <v>33</v>
      </c>
      <c r="D47" s="11"/>
      <c r="E47" s="12"/>
      <c r="F47" s="13"/>
      <c r="G47" s="13"/>
      <c r="H47" s="14">
        <f t="shared" si="1"/>
      </c>
    </row>
    <row r="48" spans="1:8" ht="13.5">
      <c r="A48" s="15"/>
      <c r="B48" s="10"/>
      <c r="C48" s="22" t="s">
        <v>33</v>
      </c>
      <c r="D48" s="11"/>
      <c r="E48" s="12"/>
      <c r="F48" s="13"/>
      <c r="G48" s="13"/>
      <c r="H48" s="14">
        <f t="shared" si="1"/>
      </c>
    </row>
    <row r="49" spans="1:8" ht="13.5">
      <c r="A49" s="15"/>
      <c r="B49" s="10"/>
      <c r="C49" s="22" t="s">
        <v>33</v>
      </c>
      <c r="D49" s="11"/>
      <c r="E49" s="12"/>
      <c r="F49" s="13"/>
      <c r="G49" s="13"/>
      <c r="H49" s="14">
        <f t="shared" si="1"/>
      </c>
    </row>
    <row r="50" spans="1:8" ht="13.5">
      <c r="A50" s="15"/>
      <c r="B50" s="10"/>
      <c r="C50" s="22" t="s">
        <v>33</v>
      </c>
      <c r="D50" s="11"/>
      <c r="E50" s="12"/>
      <c r="F50" s="13"/>
      <c r="G50" s="13"/>
      <c r="H50" s="14">
        <f t="shared" si="1"/>
      </c>
    </row>
    <row r="51" spans="1:8" ht="13.5">
      <c r="A51" s="15"/>
      <c r="B51" s="10"/>
      <c r="C51" s="22" t="s">
        <v>33</v>
      </c>
      <c r="D51" s="11"/>
      <c r="E51" s="12"/>
      <c r="F51" s="13"/>
      <c r="G51" s="13"/>
      <c r="H51" s="14">
        <f t="shared" si="1"/>
      </c>
    </row>
    <row r="52" spans="1:8" ht="13.5">
      <c r="A52" s="15"/>
      <c r="B52" s="10"/>
      <c r="C52" s="22" t="s">
        <v>33</v>
      </c>
      <c r="D52" s="11"/>
      <c r="E52" s="12"/>
      <c r="F52" s="13"/>
      <c r="G52" s="13"/>
      <c r="H52" s="14">
        <f t="shared" si="1"/>
      </c>
    </row>
    <row r="53" spans="1:8" ht="13.5">
      <c r="A53" s="15"/>
      <c r="B53" s="10"/>
      <c r="C53" s="22" t="s">
        <v>33</v>
      </c>
      <c r="D53" s="11"/>
      <c r="E53" s="12"/>
      <c r="F53" s="13"/>
      <c r="G53" s="13"/>
      <c r="H53" s="14">
        <f t="shared" si="1"/>
      </c>
    </row>
    <row r="54" spans="1:8" ht="13.5">
      <c r="A54" s="15"/>
      <c r="B54" s="10"/>
      <c r="C54" s="22" t="s">
        <v>33</v>
      </c>
      <c r="D54" s="11"/>
      <c r="E54" s="12"/>
      <c r="F54" s="13"/>
      <c r="G54" s="13"/>
      <c r="H54" s="14">
        <f t="shared" si="1"/>
      </c>
    </row>
    <row r="55" spans="1:8" ht="13.5">
      <c r="A55" s="15"/>
      <c r="B55" s="10"/>
      <c r="C55" s="22" t="s">
        <v>33</v>
      </c>
      <c r="D55" s="11"/>
      <c r="E55" s="12"/>
      <c r="F55" s="13"/>
      <c r="G55" s="13"/>
      <c r="H55" s="14">
        <f t="shared" si="1"/>
      </c>
    </row>
    <row r="56" spans="1:8" ht="13.5">
      <c r="A56" s="15"/>
      <c r="B56" s="10"/>
      <c r="C56" s="22" t="s">
        <v>33</v>
      </c>
      <c r="D56" s="11"/>
      <c r="E56" s="12"/>
      <c r="F56" s="13"/>
      <c r="G56" s="13"/>
      <c r="H56" s="14">
        <f t="shared" si="1"/>
      </c>
    </row>
    <row r="57" spans="1:8" ht="13.5">
      <c r="A57" s="15"/>
      <c r="B57" s="10"/>
      <c r="C57" s="22" t="s">
        <v>33</v>
      </c>
      <c r="D57" s="11"/>
      <c r="E57" s="12"/>
      <c r="F57" s="13"/>
      <c r="G57" s="13"/>
      <c r="H57" s="14">
        <f t="shared" si="1"/>
      </c>
    </row>
    <row r="58" spans="1:8" ht="13.5">
      <c r="A58" s="15"/>
      <c r="B58" s="10"/>
      <c r="C58" s="22" t="s">
        <v>33</v>
      </c>
      <c r="D58" s="11"/>
      <c r="E58" s="12"/>
      <c r="F58" s="13"/>
      <c r="G58" s="13"/>
      <c r="H58" s="14">
        <f t="shared" si="1"/>
      </c>
    </row>
    <row r="59" spans="1:8" ht="13.5">
      <c r="A59" s="15"/>
      <c r="B59" s="10"/>
      <c r="C59" s="22" t="s">
        <v>33</v>
      </c>
      <c r="D59" s="11"/>
      <c r="E59" s="12"/>
      <c r="F59" s="13"/>
      <c r="G59" s="13"/>
      <c r="H59" s="14">
        <f t="shared" si="1"/>
      </c>
    </row>
    <row r="60" spans="1:8" ht="13.5">
      <c r="A60" s="15"/>
      <c r="B60" s="10"/>
      <c r="C60" s="22" t="s">
        <v>33</v>
      </c>
      <c r="D60" s="11"/>
      <c r="E60" s="12"/>
      <c r="F60" s="13"/>
      <c r="G60" s="13"/>
      <c r="H60" s="14">
        <f t="shared" si="1"/>
      </c>
    </row>
    <row r="61" spans="1:8" ht="13.5">
      <c r="A61" s="15"/>
      <c r="B61" s="10"/>
      <c r="C61" s="22" t="s">
        <v>33</v>
      </c>
      <c r="D61" s="11"/>
      <c r="E61" s="12"/>
      <c r="F61" s="13"/>
      <c r="G61" s="13"/>
      <c r="H61" s="14">
        <f t="shared" si="1"/>
      </c>
    </row>
    <row r="62" spans="1:8" ht="13.5">
      <c r="A62" s="15"/>
      <c r="B62" s="10"/>
      <c r="C62" s="22" t="s">
        <v>33</v>
      </c>
      <c r="D62" s="11"/>
      <c r="E62" s="12"/>
      <c r="F62" s="13"/>
      <c r="G62" s="13"/>
      <c r="H62" s="14">
        <f t="shared" si="1"/>
      </c>
    </row>
    <row r="63" spans="1:8" ht="13.5">
      <c r="A63" s="15"/>
      <c r="B63" s="10"/>
      <c r="C63" s="22" t="s">
        <v>33</v>
      </c>
      <c r="D63" s="11"/>
      <c r="E63" s="12"/>
      <c r="F63" s="13"/>
      <c r="G63" s="13"/>
      <c r="H63" s="14">
        <f t="shared" si="1"/>
      </c>
    </row>
    <row r="64" spans="1:8" ht="13.5">
      <c r="A64" s="15"/>
      <c r="B64" s="10"/>
      <c r="C64" s="22" t="s">
        <v>33</v>
      </c>
      <c r="D64" s="11"/>
      <c r="E64" s="12"/>
      <c r="F64" s="13"/>
      <c r="G64" s="13"/>
      <c r="H64" s="14">
        <f t="shared" si="1"/>
      </c>
    </row>
    <row r="65" spans="1:8" ht="13.5">
      <c r="A65" s="15"/>
      <c r="B65" s="10"/>
      <c r="C65" s="22" t="s">
        <v>33</v>
      </c>
      <c r="D65" s="11"/>
      <c r="E65" s="12"/>
      <c r="F65" s="13"/>
      <c r="G65" s="13"/>
      <c r="H65" s="14">
        <f t="shared" si="1"/>
      </c>
    </row>
    <row r="66" spans="1:8" ht="13.5">
      <c r="A66" s="15"/>
      <c r="B66" s="10"/>
      <c r="C66" s="22" t="s">
        <v>33</v>
      </c>
      <c r="D66" s="11"/>
      <c r="E66" s="12"/>
      <c r="F66" s="13"/>
      <c r="G66" s="13"/>
      <c r="H66" s="14">
        <f t="shared" si="1"/>
      </c>
    </row>
    <row r="67" spans="1:8" ht="13.5">
      <c r="A67" s="15"/>
      <c r="B67" s="10"/>
      <c r="C67" s="22" t="s">
        <v>33</v>
      </c>
      <c r="D67" s="11"/>
      <c r="E67" s="12"/>
      <c r="F67" s="13"/>
      <c r="G67" s="13"/>
      <c r="H67" s="14">
        <f t="shared" si="1"/>
      </c>
    </row>
    <row r="68" spans="1:8" ht="13.5">
      <c r="A68" s="15"/>
      <c r="B68" s="10"/>
      <c r="C68" s="22" t="s">
        <v>33</v>
      </c>
      <c r="D68" s="11"/>
      <c r="E68" s="12"/>
      <c r="F68" s="13"/>
      <c r="G68" s="13"/>
      <c r="H68" s="14">
        <f t="shared" si="1"/>
      </c>
    </row>
    <row r="69" spans="1:8" ht="13.5">
      <c r="A69" s="15"/>
      <c r="B69" s="10"/>
      <c r="C69" s="22" t="s">
        <v>33</v>
      </c>
      <c r="D69" s="11"/>
      <c r="E69" s="12"/>
      <c r="F69" s="13"/>
      <c r="G69" s="13"/>
      <c r="H69" s="14">
        <f t="shared" si="1"/>
      </c>
    </row>
    <row r="70" spans="1:8" ht="13.5">
      <c r="A70" s="15"/>
      <c r="B70" s="10"/>
      <c r="C70" s="22" t="s">
        <v>33</v>
      </c>
      <c r="D70" s="11"/>
      <c r="E70" s="12"/>
      <c r="F70" s="13"/>
      <c r="G70" s="13"/>
      <c r="H70" s="14">
        <f aca="true" t="shared" si="4" ref="H70:H91">IF(OR(H69="",AND(F70="",G70="")),"",H69+F70-G70)</f>
      </c>
    </row>
    <row r="71" spans="1:8" ht="13.5">
      <c r="A71" s="15"/>
      <c r="B71" s="10"/>
      <c r="C71" s="22" t="s">
        <v>33</v>
      </c>
      <c r="D71" s="11"/>
      <c r="E71" s="12"/>
      <c r="F71" s="13"/>
      <c r="G71" s="13"/>
      <c r="H71" s="14">
        <f t="shared" si="4"/>
      </c>
    </row>
    <row r="72" spans="1:8" ht="13.5">
      <c r="A72" s="15"/>
      <c r="B72" s="10"/>
      <c r="C72" s="22" t="s">
        <v>33</v>
      </c>
      <c r="D72" s="11"/>
      <c r="E72" s="12"/>
      <c r="F72" s="13"/>
      <c r="G72" s="13"/>
      <c r="H72" s="14">
        <f t="shared" si="4"/>
      </c>
    </row>
    <row r="73" spans="1:8" ht="13.5">
      <c r="A73" s="15"/>
      <c r="B73" s="10"/>
      <c r="C73" s="22" t="s">
        <v>33</v>
      </c>
      <c r="D73" s="11"/>
      <c r="E73" s="12"/>
      <c r="F73" s="13"/>
      <c r="G73" s="13"/>
      <c r="H73" s="14">
        <f t="shared" si="4"/>
      </c>
    </row>
    <row r="74" spans="1:8" ht="13.5">
      <c r="A74" s="15"/>
      <c r="B74" s="10"/>
      <c r="C74" s="22" t="s">
        <v>33</v>
      </c>
      <c r="D74" s="11"/>
      <c r="E74" s="12"/>
      <c r="F74" s="13"/>
      <c r="G74" s="13"/>
      <c r="H74" s="14">
        <f t="shared" si="4"/>
      </c>
    </row>
    <row r="75" spans="1:8" ht="13.5">
      <c r="A75" s="15"/>
      <c r="B75" s="10"/>
      <c r="C75" s="22" t="s">
        <v>33</v>
      </c>
      <c r="D75" s="11"/>
      <c r="E75" s="12"/>
      <c r="F75" s="13"/>
      <c r="G75" s="13"/>
      <c r="H75" s="14">
        <f t="shared" si="4"/>
      </c>
    </row>
    <row r="76" spans="1:8" ht="13.5">
      <c r="A76" s="15"/>
      <c r="B76" s="10"/>
      <c r="C76" s="22" t="s">
        <v>33</v>
      </c>
      <c r="D76" s="11"/>
      <c r="E76" s="12"/>
      <c r="F76" s="13"/>
      <c r="G76" s="13"/>
      <c r="H76" s="14">
        <f t="shared" si="4"/>
      </c>
    </row>
    <row r="77" spans="1:8" ht="13.5">
      <c r="A77" s="15"/>
      <c r="B77" s="10"/>
      <c r="C77" s="22" t="s">
        <v>33</v>
      </c>
      <c r="D77" s="11"/>
      <c r="E77" s="12"/>
      <c r="F77" s="13"/>
      <c r="G77" s="13"/>
      <c r="H77" s="14">
        <f t="shared" si="4"/>
      </c>
    </row>
    <row r="78" spans="1:8" ht="13.5">
      <c r="A78" s="15"/>
      <c r="B78" s="10"/>
      <c r="C78" s="22" t="s">
        <v>33</v>
      </c>
      <c r="D78" s="11"/>
      <c r="E78" s="12"/>
      <c r="F78" s="13"/>
      <c r="G78" s="13"/>
      <c r="H78" s="14">
        <f t="shared" si="4"/>
      </c>
    </row>
    <row r="79" spans="1:8" ht="13.5">
      <c r="A79" s="15"/>
      <c r="B79" s="10"/>
      <c r="C79" s="22" t="s">
        <v>33</v>
      </c>
      <c r="D79" s="11"/>
      <c r="E79" s="12"/>
      <c r="F79" s="13"/>
      <c r="G79" s="13"/>
      <c r="H79" s="14">
        <f t="shared" si="4"/>
      </c>
    </row>
    <row r="80" spans="1:8" ht="13.5">
      <c r="A80" s="15"/>
      <c r="B80" s="10"/>
      <c r="C80" s="22" t="s">
        <v>33</v>
      </c>
      <c r="D80" s="11"/>
      <c r="E80" s="12"/>
      <c r="F80" s="13"/>
      <c r="G80" s="13"/>
      <c r="H80" s="14">
        <f t="shared" si="4"/>
      </c>
    </row>
    <row r="81" spans="1:8" ht="13.5">
      <c r="A81" s="15"/>
      <c r="B81" s="10"/>
      <c r="C81" s="22" t="s">
        <v>33</v>
      </c>
      <c r="D81" s="11"/>
      <c r="E81" s="12"/>
      <c r="F81" s="13"/>
      <c r="G81" s="13"/>
      <c r="H81" s="14">
        <f t="shared" si="4"/>
      </c>
    </row>
    <row r="82" spans="1:8" ht="13.5">
      <c r="A82" s="15"/>
      <c r="B82" s="10"/>
      <c r="C82" s="22" t="s">
        <v>33</v>
      </c>
      <c r="D82" s="11"/>
      <c r="E82" s="12"/>
      <c r="F82" s="13"/>
      <c r="G82" s="13"/>
      <c r="H82" s="14">
        <f t="shared" si="4"/>
      </c>
    </row>
    <row r="83" spans="1:8" ht="13.5">
      <c r="A83" s="15"/>
      <c r="B83" s="10"/>
      <c r="C83" s="22" t="s">
        <v>33</v>
      </c>
      <c r="D83" s="11"/>
      <c r="E83" s="12"/>
      <c r="F83" s="13"/>
      <c r="G83" s="13"/>
      <c r="H83" s="14">
        <f t="shared" si="4"/>
      </c>
    </row>
    <row r="84" spans="1:8" ht="13.5">
      <c r="A84" s="15"/>
      <c r="B84" s="10"/>
      <c r="C84" s="22" t="s">
        <v>33</v>
      </c>
      <c r="D84" s="11"/>
      <c r="E84" s="12"/>
      <c r="F84" s="13"/>
      <c r="G84" s="13"/>
      <c r="H84" s="14">
        <f t="shared" si="4"/>
      </c>
    </row>
    <row r="85" spans="1:8" ht="13.5">
      <c r="A85" s="15"/>
      <c r="B85" s="10"/>
      <c r="C85" s="22" t="s">
        <v>33</v>
      </c>
      <c r="D85" s="11"/>
      <c r="E85" s="12"/>
      <c r="F85" s="13"/>
      <c r="G85" s="13"/>
      <c r="H85" s="14">
        <f t="shared" si="4"/>
      </c>
    </row>
    <row r="86" spans="1:8" ht="13.5">
      <c r="A86" s="15"/>
      <c r="B86" s="10"/>
      <c r="C86" s="22" t="s">
        <v>33</v>
      </c>
      <c r="D86" s="11"/>
      <c r="E86" s="12"/>
      <c r="F86" s="13"/>
      <c r="G86" s="13"/>
      <c r="H86" s="14">
        <f t="shared" si="4"/>
      </c>
    </row>
    <row r="87" spans="1:8" ht="13.5">
      <c r="A87" s="15"/>
      <c r="B87" s="10"/>
      <c r="C87" s="22" t="s">
        <v>33</v>
      </c>
      <c r="D87" s="11"/>
      <c r="E87" s="12"/>
      <c r="F87" s="13"/>
      <c r="G87" s="13"/>
      <c r="H87" s="14">
        <f t="shared" si="4"/>
      </c>
    </row>
    <row r="88" spans="1:8" ht="13.5">
      <c r="A88" s="15"/>
      <c r="B88" s="10"/>
      <c r="C88" s="22" t="s">
        <v>33</v>
      </c>
      <c r="D88" s="11"/>
      <c r="E88" s="12"/>
      <c r="F88" s="13"/>
      <c r="G88" s="13"/>
      <c r="H88" s="14">
        <f t="shared" si="4"/>
      </c>
    </row>
    <row r="89" spans="1:8" ht="13.5">
      <c r="A89" s="15"/>
      <c r="B89" s="10"/>
      <c r="C89" s="22" t="s">
        <v>33</v>
      </c>
      <c r="D89" s="11"/>
      <c r="E89" s="12"/>
      <c r="F89" s="13"/>
      <c r="G89" s="13"/>
      <c r="H89" s="14">
        <f t="shared" si="4"/>
      </c>
    </row>
    <row r="90" spans="1:8" ht="13.5">
      <c r="A90" s="15"/>
      <c r="B90" s="10"/>
      <c r="C90" s="22" t="s">
        <v>33</v>
      </c>
      <c r="D90" s="11"/>
      <c r="E90" s="12"/>
      <c r="F90" s="13"/>
      <c r="G90" s="13"/>
      <c r="H90" s="14">
        <f t="shared" si="4"/>
      </c>
    </row>
    <row r="91" spans="1:8" ht="14.25" thickBot="1">
      <c r="A91" s="15"/>
      <c r="B91" s="10"/>
      <c r="C91" s="22" t="s">
        <v>33</v>
      </c>
      <c r="D91" s="11"/>
      <c r="E91" s="12"/>
      <c r="F91" s="13"/>
      <c r="G91" s="13"/>
      <c r="H91" s="14">
        <f t="shared" si="4"/>
      </c>
    </row>
    <row r="92" spans="1:8" ht="14.25" thickBot="1">
      <c r="A92" s="15"/>
      <c r="B92" s="17"/>
      <c r="C92" s="18"/>
      <c r="D92" s="18"/>
      <c r="E92" s="19" t="s">
        <v>8</v>
      </c>
      <c r="F92" s="20"/>
      <c r="G92" s="20"/>
      <c r="H92" s="21">
        <f>IF(AND(SUM(F5:F91)=0,SUM(G5:G91)=0),"",SUM(F5:F91)-SUM(G5:G91)+H4)</f>
      </c>
    </row>
  </sheetData>
  <sheetProtection/>
  <mergeCells count="1">
    <mergeCell ref="B1:C1"/>
  </mergeCells>
  <dataValidations count="2">
    <dataValidation type="list" allowBlank="1" showInputMessage="1" showErrorMessage="1" sqref="C5:C91">
      <formula1>$J$3:$J$32</formula1>
    </dataValidation>
    <dataValidation type="list" allowBlank="1" showInputMessage="1" showErrorMessage="1" sqref="D5:D91">
      <formula1>$J$37:$J$46</formula1>
    </dataValidation>
  </dataValidations>
  <printOptions/>
  <pageMargins left="0.75" right="0.75" top="1" bottom="1" header="0.512" footer="0.512"/>
  <pageSetup orientation="portrait" paperSize="9"/>
  <ignoredErrors>
    <ignoredError sqref="K5" formula="1"/>
  </ignoredErrors>
  <legacyDrawing r:id="rId2"/>
</worksheet>
</file>

<file path=xl/worksheets/sheet4.xml><?xml version="1.0" encoding="utf-8"?>
<worksheet xmlns="http://schemas.openxmlformats.org/spreadsheetml/2006/main" xmlns:r="http://schemas.openxmlformats.org/officeDocument/2006/relationships">
  <dimension ref="A1:Q92"/>
  <sheetViews>
    <sheetView zoomScalePageLayoutView="0" workbookViewId="0" topLeftCell="A1">
      <selection activeCell="J24" sqref="J24"/>
    </sheetView>
  </sheetViews>
  <sheetFormatPr defaultColWidth="9.00390625" defaultRowHeight="13.5"/>
  <cols>
    <col min="3" max="3" width="10.875" style="0" customWidth="1"/>
    <col min="4" max="4" width="18.125" style="0" customWidth="1"/>
    <col min="5" max="5" width="22.25390625" style="0" customWidth="1"/>
    <col min="6" max="7" width="11.875" style="0" customWidth="1"/>
    <col min="8" max="8" width="13.125" style="0" customWidth="1"/>
    <col min="10" max="10" width="12.75390625" style="0" bestFit="1" customWidth="1"/>
    <col min="14" max="14" width="5.25390625" style="0" bestFit="1" customWidth="1"/>
  </cols>
  <sheetData>
    <row r="1" spans="1:11" ht="23.25">
      <c r="A1" s="1"/>
      <c r="B1" s="38" t="s">
        <v>9</v>
      </c>
      <c r="C1" s="39"/>
      <c r="D1" s="2"/>
      <c r="E1" s="2"/>
      <c r="F1" s="2"/>
      <c r="G1" s="2"/>
      <c r="H1" s="2"/>
      <c r="K1" s="3"/>
    </row>
    <row r="2" spans="1:11" ht="15" thickBot="1">
      <c r="A2" s="1"/>
      <c r="B2" s="1"/>
      <c r="C2" s="1"/>
      <c r="D2" s="1"/>
      <c r="E2" s="1"/>
      <c r="F2" s="1"/>
      <c r="G2" s="1"/>
      <c r="H2" s="4" t="s">
        <v>45</v>
      </c>
      <c r="K2" s="3"/>
    </row>
    <row r="3" spans="1:17" ht="15" thickBot="1">
      <c r="A3" s="1"/>
      <c r="B3" s="5" t="s">
        <v>1</v>
      </c>
      <c r="C3" s="6" t="s">
        <v>2</v>
      </c>
      <c r="D3" s="7" t="s">
        <v>3</v>
      </c>
      <c r="E3" s="8" t="s">
        <v>4</v>
      </c>
      <c r="F3" s="6" t="s">
        <v>5</v>
      </c>
      <c r="G3" s="6" t="s">
        <v>6</v>
      </c>
      <c r="H3" s="9" t="s">
        <v>7</v>
      </c>
      <c r="J3" s="27" t="str">
        <f>IF('１月'!J3="","",'１月'!J3)</f>
        <v>売上</v>
      </c>
      <c r="K3" s="28">
        <f>SUMIF($C$5:$C$91,J3,$F$5:$F$91)</f>
        <v>0</v>
      </c>
      <c r="M3" s="29" t="s">
        <v>36</v>
      </c>
      <c r="N3" s="29" t="s">
        <v>37</v>
      </c>
      <c r="O3" s="30" t="s">
        <v>38</v>
      </c>
      <c r="P3" s="30" t="s">
        <v>39</v>
      </c>
      <c r="Q3" s="27"/>
    </row>
    <row r="4" spans="1:17" ht="14.25">
      <c r="A4" s="1"/>
      <c r="B4" s="10"/>
      <c r="C4" s="22" t="s">
        <v>33</v>
      </c>
      <c r="D4" s="11"/>
      <c r="E4" s="12" t="s">
        <v>35</v>
      </c>
      <c r="F4" s="13"/>
      <c r="G4" s="13"/>
      <c r="H4" s="14">
        <f>'３月'!H92</f>
      </c>
      <c r="J4" s="27" t="str">
        <f>IF('１月'!J4="","",'１月'!J4)</f>
        <v>仕入</v>
      </c>
      <c r="K4" s="28">
        <f>SUMIF($C$5:$C$91,J4,$G$5:$G$91)</f>
        <v>0</v>
      </c>
      <c r="M4" s="31">
        <v>40634</v>
      </c>
      <c r="N4" s="42" t="s">
        <v>84</v>
      </c>
      <c r="O4" s="28">
        <f>SUMIF($B$5:$B$91,"4月1日",$F$5:$F$91)</f>
        <v>0</v>
      </c>
      <c r="P4" s="28">
        <f>SUMIF($B$5:$B$91,"4月1日",$G$5:$G$91)</f>
        <v>0</v>
      </c>
      <c r="Q4" s="32">
        <f>O4-P4</f>
        <v>0</v>
      </c>
    </row>
    <row r="5" spans="1:17" ht="14.25">
      <c r="A5" s="1"/>
      <c r="B5" s="10"/>
      <c r="C5" s="22" t="s">
        <v>33</v>
      </c>
      <c r="D5" s="11"/>
      <c r="E5" s="12"/>
      <c r="F5" s="13"/>
      <c r="G5" s="13"/>
      <c r="H5" s="14">
        <f>IF(OR(H4="",AND(F5="",G5="")),"",H4+F5-G5)</f>
      </c>
      <c r="J5" s="27" t="str">
        <f>IF('１月'!J5="","",'１月'!J5)</f>
        <v>製造原価</v>
      </c>
      <c r="K5" s="28">
        <f>K3-K4</f>
        <v>0</v>
      </c>
      <c r="M5" s="31">
        <v>40635</v>
      </c>
      <c r="N5" s="42" t="s">
        <v>72</v>
      </c>
      <c r="O5" s="28">
        <f>SUMIF($B$5:$B$91,"4月2日",$F$5:$F$91)</f>
        <v>0</v>
      </c>
      <c r="P5" s="28">
        <f>SUMIF($B$5:$B$91,"4月2日",$G$5:$G$91)</f>
        <v>0</v>
      </c>
      <c r="Q5" s="32">
        <f aca="true" t="shared" si="0" ref="Q5:Q34">O5-P5</f>
        <v>0</v>
      </c>
    </row>
    <row r="6" spans="1:17" ht="14.25">
      <c r="A6" s="1"/>
      <c r="B6" s="10"/>
      <c r="C6" s="22" t="s">
        <v>33</v>
      </c>
      <c r="D6" s="11"/>
      <c r="E6" s="12"/>
      <c r="F6" s="13"/>
      <c r="G6" s="13"/>
      <c r="H6" s="14">
        <f aca="true" t="shared" si="1" ref="H6:H69">IF(OR(H5="",AND(F6="",G6="")),"",H5+F6-G6)</f>
      </c>
      <c r="J6" s="27" t="str">
        <f>IF('１月'!J6="","",'１月'!J6)</f>
        <v>租税公課</v>
      </c>
      <c r="K6" s="28">
        <f>SUMIF($C$5:$C$91,J6,$G$5:$G$91)</f>
        <v>0</v>
      </c>
      <c r="M6" s="31">
        <v>40636</v>
      </c>
      <c r="N6" s="42" t="s">
        <v>66</v>
      </c>
      <c r="O6" s="28">
        <f>SUMIF($B$5:$B$91,"4月3日",$F$5:$F$91)</f>
        <v>0</v>
      </c>
      <c r="P6" s="28">
        <f>SUMIF($B$5:$B$91,"4月3日",$G$5:$G$91)</f>
        <v>0</v>
      </c>
      <c r="Q6" s="32">
        <f t="shared" si="0"/>
        <v>0</v>
      </c>
    </row>
    <row r="7" spans="1:17" ht="14.25">
      <c r="A7" s="1"/>
      <c r="B7" s="10"/>
      <c r="C7" s="22" t="s">
        <v>33</v>
      </c>
      <c r="D7" s="11"/>
      <c r="E7" s="12"/>
      <c r="F7" s="13"/>
      <c r="G7" s="13"/>
      <c r="H7" s="14">
        <f t="shared" si="1"/>
      </c>
      <c r="J7" s="27" t="str">
        <f>IF('１月'!J7="","",'１月'!J7)</f>
        <v>荷造運賃</v>
      </c>
      <c r="K7" s="28">
        <f aca="true" t="shared" si="2" ref="K7:K28">SUMIF($C$5:$C$91,J7,$G$5:$G$91)</f>
        <v>0</v>
      </c>
      <c r="M7" s="31">
        <v>40637</v>
      </c>
      <c r="N7" s="42" t="s">
        <v>67</v>
      </c>
      <c r="O7" s="28">
        <f>SUMIF($B$5:$B$91,"4月4日",$F$5:$F$91)</f>
        <v>0</v>
      </c>
      <c r="P7" s="28">
        <f>SUMIF($B$5:$B$91,"4月4日",$G$5:$G$91)</f>
        <v>0</v>
      </c>
      <c r="Q7" s="32">
        <f t="shared" si="0"/>
        <v>0</v>
      </c>
    </row>
    <row r="8" spans="1:17" ht="14.25">
      <c r="A8" s="1"/>
      <c r="B8" s="10"/>
      <c r="C8" s="22" t="s">
        <v>33</v>
      </c>
      <c r="D8" s="11"/>
      <c r="E8" s="12"/>
      <c r="F8" s="13"/>
      <c r="G8" s="13"/>
      <c r="H8" s="14">
        <f t="shared" si="1"/>
      </c>
      <c r="J8" s="27" t="str">
        <f>IF('１月'!J8="","",'１月'!J8)</f>
        <v>水道光熱費</v>
      </c>
      <c r="K8" s="28">
        <f t="shared" si="2"/>
        <v>0</v>
      </c>
      <c r="M8" s="31">
        <v>40638</v>
      </c>
      <c r="N8" s="42" t="s">
        <v>68</v>
      </c>
      <c r="O8" s="28">
        <f>SUMIF($B$5:$B$91,"4月5日",$F$5:$F$91)</f>
        <v>0</v>
      </c>
      <c r="P8" s="28">
        <f>SUMIF($B$5:$B$91,"4月5日",$G$5:$G$91)</f>
        <v>0</v>
      </c>
      <c r="Q8" s="32">
        <f t="shared" si="0"/>
        <v>0</v>
      </c>
    </row>
    <row r="9" spans="1:17" ht="14.25">
      <c r="A9" s="1"/>
      <c r="B9" s="10"/>
      <c r="C9" s="22" t="s">
        <v>33</v>
      </c>
      <c r="D9" s="11"/>
      <c r="E9" s="12"/>
      <c r="F9" s="13"/>
      <c r="G9" s="13"/>
      <c r="H9" s="14">
        <f t="shared" si="1"/>
      </c>
      <c r="J9" s="27" t="str">
        <f>IF('１月'!J9="","",'１月'!J9)</f>
        <v>旅費交通費</v>
      </c>
      <c r="K9" s="28">
        <f t="shared" si="2"/>
        <v>0</v>
      </c>
      <c r="M9" s="31">
        <v>40639</v>
      </c>
      <c r="N9" s="42" t="s">
        <v>69</v>
      </c>
      <c r="O9" s="28">
        <f>SUMIF($B$5:$B$91,"4月6日",$F$5:$F$91)</f>
        <v>0</v>
      </c>
      <c r="P9" s="28">
        <f>SUMIF($B$5:$B$91,"4月6日",$G$5:$G$91)</f>
        <v>0</v>
      </c>
      <c r="Q9" s="32">
        <f t="shared" si="0"/>
        <v>0</v>
      </c>
    </row>
    <row r="10" spans="1:17" ht="14.25">
      <c r="A10" s="15"/>
      <c r="B10" s="10"/>
      <c r="C10" s="22" t="s">
        <v>33</v>
      </c>
      <c r="D10" s="11"/>
      <c r="E10" s="12"/>
      <c r="F10" s="13"/>
      <c r="G10" s="13"/>
      <c r="H10" s="14">
        <f t="shared" si="1"/>
      </c>
      <c r="J10" s="27" t="str">
        <f>IF('１月'!J10="","",'１月'!J10)</f>
        <v>通信費</v>
      </c>
      <c r="K10" s="28">
        <f t="shared" si="2"/>
        <v>0</v>
      </c>
      <c r="M10" s="31">
        <v>40640</v>
      </c>
      <c r="N10" s="42" t="s">
        <v>70</v>
      </c>
      <c r="O10" s="28">
        <f>SUMIF($B$5:$B$91,"4月7日",$F$5:$F$91)</f>
        <v>0</v>
      </c>
      <c r="P10" s="28">
        <f>SUMIF($B$5:$B$91,"4月7日",$G$5:$G$91)</f>
        <v>0</v>
      </c>
      <c r="Q10" s="32">
        <f t="shared" si="0"/>
        <v>0</v>
      </c>
    </row>
    <row r="11" spans="1:17" ht="14.25">
      <c r="A11" s="15"/>
      <c r="B11" s="10"/>
      <c r="C11" s="22" t="s">
        <v>33</v>
      </c>
      <c r="D11" s="11"/>
      <c r="E11" s="12"/>
      <c r="F11" s="13"/>
      <c r="G11" s="13"/>
      <c r="H11" s="14">
        <f t="shared" si="1"/>
      </c>
      <c r="J11" s="27" t="str">
        <f>IF('１月'!J11="","",'１月'!J11)</f>
        <v>広告宣伝費</v>
      </c>
      <c r="K11" s="28">
        <f t="shared" si="2"/>
        <v>0</v>
      </c>
      <c r="M11" s="31">
        <v>40641</v>
      </c>
      <c r="N11" s="42" t="s">
        <v>71</v>
      </c>
      <c r="O11" s="28">
        <f>SUMIF($B$5:$B$91,"4月8日",$F$5:$F$91)</f>
        <v>0</v>
      </c>
      <c r="P11" s="28">
        <f>SUMIF($B$5:$B$91,"4月8日",$G$5:$G$91)</f>
        <v>0</v>
      </c>
      <c r="Q11" s="32">
        <f t="shared" si="0"/>
        <v>0</v>
      </c>
    </row>
    <row r="12" spans="1:17" ht="14.25">
      <c r="A12" s="15"/>
      <c r="B12" s="10"/>
      <c r="C12" s="22" t="s">
        <v>33</v>
      </c>
      <c r="D12" s="11"/>
      <c r="E12" s="12"/>
      <c r="F12" s="13"/>
      <c r="G12" s="13"/>
      <c r="H12" s="14">
        <f t="shared" si="1"/>
      </c>
      <c r="J12" s="27" t="str">
        <f>IF('１月'!J12="","",'１月'!J12)</f>
        <v>接待交際費</v>
      </c>
      <c r="K12" s="28">
        <f t="shared" si="2"/>
        <v>0</v>
      </c>
      <c r="M12" s="31">
        <v>40642</v>
      </c>
      <c r="N12" s="42" t="s">
        <v>72</v>
      </c>
      <c r="O12" s="28">
        <f>SUMIF($B$5:$B$91,"4月9日",$F$5:$F$91)</f>
        <v>0</v>
      </c>
      <c r="P12" s="28">
        <f>SUMIF($B$5:$B$91,"4月9日",$G$5:$G$91)</f>
        <v>0</v>
      </c>
      <c r="Q12" s="32">
        <f t="shared" si="0"/>
        <v>0</v>
      </c>
    </row>
    <row r="13" spans="1:17" ht="14.25">
      <c r="A13" s="15"/>
      <c r="B13" s="10"/>
      <c r="C13" s="22" t="s">
        <v>33</v>
      </c>
      <c r="D13" s="11"/>
      <c r="E13" s="12"/>
      <c r="F13" s="13"/>
      <c r="G13" s="13"/>
      <c r="H13" s="14">
        <f t="shared" si="1"/>
      </c>
      <c r="J13" s="27" t="str">
        <f>IF('１月'!J13="","",'１月'!J13)</f>
        <v>損害保険料</v>
      </c>
      <c r="K13" s="28">
        <f t="shared" si="2"/>
        <v>0</v>
      </c>
      <c r="M13" s="31">
        <v>40643</v>
      </c>
      <c r="N13" s="42" t="s">
        <v>66</v>
      </c>
      <c r="O13" s="28">
        <f>SUMIF($B$5:$B$91,"4月10日",$F$5:$F$91)</f>
        <v>0</v>
      </c>
      <c r="P13" s="28">
        <f>SUMIF($B$5:$B$91,"4月10日",$G$5:$G$91)</f>
        <v>0</v>
      </c>
      <c r="Q13" s="32">
        <f t="shared" si="0"/>
        <v>0</v>
      </c>
    </row>
    <row r="14" spans="1:17" ht="14.25">
      <c r="A14" s="15"/>
      <c r="B14" s="10"/>
      <c r="C14" s="22" t="s">
        <v>33</v>
      </c>
      <c r="D14" s="11"/>
      <c r="E14" s="12"/>
      <c r="F14" s="13"/>
      <c r="G14" s="13"/>
      <c r="H14" s="14">
        <f t="shared" si="1"/>
      </c>
      <c r="J14" s="27" t="str">
        <f>IF('１月'!J14="","",'１月'!J14)</f>
        <v>修繕費</v>
      </c>
      <c r="K14" s="28">
        <f t="shared" si="2"/>
        <v>0</v>
      </c>
      <c r="M14" s="31">
        <v>40644</v>
      </c>
      <c r="N14" s="42" t="s">
        <v>67</v>
      </c>
      <c r="O14" s="28">
        <f>SUMIF($B$5:$B$91,"4月11日",$F$5:$F$91)</f>
        <v>0</v>
      </c>
      <c r="P14" s="28">
        <f>SUMIF($B$5:$B$91,"4月11日",$G$5:$G$91)</f>
        <v>0</v>
      </c>
      <c r="Q14" s="32">
        <f t="shared" si="0"/>
        <v>0</v>
      </c>
    </row>
    <row r="15" spans="1:17" ht="14.25">
      <c r="A15" s="15"/>
      <c r="B15" s="10"/>
      <c r="C15" s="22" t="s">
        <v>33</v>
      </c>
      <c r="D15" s="11"/>
      <c r="E15" s="16"/>
      <c r="F15" s="13"/>
      <c r="G15" s="13"/>
      <c r="H15" s="14">
        <f t="shared" si="1"/>
      </c>
      <c r="J15" s="27" t="str">
        <f>IF('１月'!J15="","",'１月'!J15)</f>
        <v>消耗品費</v>
      </c>
      <c r="K15" s="28">
        <f t="shared" si="2"/>
        <v>0</v>
      </c>
      <c r="M15" s="31">
        <v>40645</v>
      </c>
      <c r="N15" s="42" t="s">
        <v>68</v>
      </c>
      <c r="O15" s="28">
        <f>SUMIF($B$5:$B$91,"4月12日",$F$5:$F$91)</f>
        <v>0</v>
      </c>
      <c r="P15" s="28">
        <f>SUMIF($B$5:$B$91,"4月12日",$G$5:$G$91)</f>
        <v>0</v>
      </c>
      <c r="Q15" s="32">
        <f t="shared" si="0"/>
        <v>0</v>
      </c>
    </row>
    <row r="16" spans="1:17" ht="14.25">
      <c r="A16" s="15"/>
      <c r="B16" s="10"/>
      <c r="C16" s="22" t="s">
        <v>33</v>
      </c>
      <c r="D16" s="11"/>
      <c r="E16" s="12"/>
      <c r="F16" s="13"/>
      <c r="G16" s="13"/>
      <c r="H16" s="14">
        <f t="shared" si="1"/>
      </c>
      <c r="J16" s="27" t="str">
        <f>IF('１月'!J16="","",'１月'!J16)</f>
        <v>福利厚生費</v>
      </c>
      <c r="K16" s="28">
        <f t="shared" si="2"/>
        <v>0</v>
      </c>
      <c r="M16" s="31">
        <v>40646</v>
      </c>
      <c r="N16" s="42" t="s">
        <v>69</v>
      </c>
      <c r="O16" s="28">
        <f>SUMIF($B$5:$B$91,"4月13日",$F$5:$F$91)</f>
        <v>0</v>
      </c>
      <c r="P16" s="28">
        <f>SUMIF($B$5:$B$91,"4月13日",$G$5:$G$91)</f>
        <v>0</v>
      </c>
      <c r="Q16" s="32">
        <f t="shared" si="0"/>
        <v>0</v>
      </c>
    </row>
    <row r="17" spans="1:17" ht="14.25">
      <c r="A17" s="15"/>
      <c r="B17" s="10"/>
      <c r="C17" s="22" t="s">
        <v>33</v>
      </c>
      <c r="D17" s="11"/>
      <c r="E17" s="12"/>
      <c r="F17" s="13"/>
      <c r="G17" s="13"/>
      <c r="H17" s="14">
        <f t="shared" si="1"/>
      </c>
      <c r="J17" s="27" t="str">
        <f>IF('１月'!J17="","",'１月'!J17)</f>
        <v>給与賃金</v>
      </c>
      <c r="K17" s="28">
        <f t="shared" si="2"/>
        <v>0</v>
      </c>
      <c r="M17" s="31">
        <v>40647</v>
      </c>
      <c r="N17" s="42" t="s">
        <v>70</v>
      </c>
      <c r="O17" s="28">
        <f>SUMIF($B$5:$B$91,"4月14日",$F$5:$F$91)</f>
        <v>0</v>
      </c>
      <c r="P17" s="28">
        <f>SUMIF($B$5:$B$91,"4月14日",$G$5:$G$91)</f>
        <v>0</v>
      </c>
      <c r="Q17" s="32">
        <f t="shared" si="0"/>
        <v>0</v>
      </c>
    </row>
    <row r="18" spans="1:17" ht="14.25">
      <c r="A18" s="15"/>
      <c r="B18" s="10"/>
      <c r="C18" s="22" t="s">
        <v>33</v>
      </c>
      <c r="D18" s="11"/>
      <c r="E18" s="12"/>
      <c r="F18" s="13"/>
      <c r="G18" s="13"/>
      <c r="H18" s="14">
        <f t="shared" si="1"/>
      </c>
      <c r="J18" s="27" t="str">
        <f>IF('１月'!J18="","",'１月'!J18)</f>
        <v>利子割引料</v>
      </c>
      <c r="K18" s="28">
        <f t="shared" si="2"/>
        <v>0</v>
      </c>
      <c r="M18" s="31">
        <v>40648</v>
      </c>
      <c r="N18" s="42" t="s">
        <v>71</v>
      </c>
      <c r="O18" s="28">
        <f>SUMIF($B$5:$B$91,"4月15日",$F$5:$F$91)</f>
        <v>0</v>
      </c>
      <c r="P18" s="28">
        <f>SUMIF($B$5:$B$91,"4月15日",$G$5:$G$91)</f>
        <v>0</v>
      </c>
      <c r="Q18" s="32">
        <f t="shared" si="0"/>
        <v>0</v>
      </c>
    </row>
    <row r="19" spans="1:17" ht="14.25">
      <c r="A19" s="15"/>
      <c r="B19" s="10"/>
      <c r="C19" s="22" t="s">
        <v>33</v>
      </c>
      <c r="D19" s="11"/>
      <c r="E19" s="12"/>
      <c r="F19" s="13"/>
      <c r="G19" s="13"/>
      <c r="H19" s="14">
        <f t="shared" si="1"/>
      </c>
      <c r="J19" s="27" t="str">
        <f>IF('１月'!J19="","",'１月'!J19)</f>
        <v>地代家賃</v>
      </c>
      <c r="K19" s="28">
        <f t="shared" si="2"/>
        <v>0</v>
      </c>
      <c r="M19" s="31">
        <v>40649</v>
      </c>
      <c r="N19" s="42" t="s">
        <v>72</v>
      </c>
      <c r="O19" s="28">
        <f>SUMIF($B$5:$B$91,"4月16日",$F$5:$F$91)</f>
        <v>0</v>
      </c>
      <c r="P19" s="28">
        <f>SUMIF($B$5:$B$91,"4月16日",$G$5:$G$91)</f>
        <v>0</v>
      </c>
      <c r="Q19" s="32">
        <f t="shared" si="0"/>
        <v>0</v>
      </c>
    </row>
    <row r="20" spans="1:17" ht="14.25">
      <c r="A20" s="15"/>
      <c r="B20" s="10"/>
      <c r="C20" s="22" t="s">
        <v>33</v>
      </c>
      <c r="D20" s="11"/>
      <c r="E20" s="12"/>
      <c r="F20" s="13"/>
      <c r="G20" s="13"/>
      <c r="H20" s="14">
        <f t="shared" si="1"/>
      </c>
      <c r="J20" s="27" t="str">
        <f>IF('１月'!J20="","",'１月'!J20)</f>
        <v>貸倒金</v>
      </c>
      <c r="K20" s="28">
        <f t="shared" si="2"/>
        <v>0</v>
      </c>
      <c r="M20" s="31">
        <v>40650</v>
      </c>
      <c r="N20" s="42" t="s">
        <v>66</v>
      </c>
      <c r="O20" s="28">
        <f>SUMIF($B$5:$B$91,"4月17日",$F$5:$F$91)</f>
        <v>0</v>
      </c>
      <c r="P20" s="28">
        <f>SUMIF($B$5:$B$91,"4月17日",$G$5:$G$91)</f>
        <v>0</v>
      </c>
      <c r="Q20" s="32">
        <f t="shared" si="0"/>
        <v>0</v>
      </c>
    </row>
    <row r="21" spans="1:17" ht="14.25">
      <c r="A21" s="15"/>
      <c r="B21" s="10"/>
      <c r="C21" s="22" t="s">
        <v>33</v>
      </c>
      <c r="D21" s="11"/>
      <c r="E21" s="16"/>
      <c r="F21" s="13"/>
      <c r="G21" s="13"/>
      <c r="H21" s="14">
        <f t="shared" si="1"/>
      </c>
      <c r="J21" s="27" t="str">
        <f>IF('１月'!J21="","",'１月'!J21)</f>
        <v>専従者給与</v>
      </c>
      <c r="K21" s="28">
        <f t="shared" si="2"/>
        <v>0</v>
      </c>
      <c r="M21" s="31">
        <v>40651</v>
      </c>
      <c r="N21" s="42" t="s">
        <v>67</v>
      </c>
      <c r="O21" s="28">
        <f>SUMIF($B$5:$B$91,"4月18日",$F$5:$F$91)</f>
        <v>0</v>
      </c>
      <c r="P21" s="28">
        <f>SUMIF($B$5:$B$91,"4月18日",$G$5:$G$91)</f>
        <v>0</v>
      </c>
      <c r="Q21" s="32">
        <f t="shared" si="0"/>
        <v>0</v>
      </c>
    </row>
    <row r="22" spans="1:17" ht="14.25">
      <c r="A22" s="15"/>
      <c r="B22" s="10"/>
      <c r="C22" s="22" t="s">
        <v>33</v>
      </c>
      <c r="D22" s="11"/>
      <c r="E22" s="12"/>
      <c r="F22" s="13"/>
      <c r="G22" s="13"/>
      <c r="H22" s="14">
        <f t="shared" si="1"/>
      </c>
      <c r="J22" s="27" t="str">
        <f>IF('１月'!J22="","",'１月'!J22)</f>
        <v>リース料</v>
      </c>
      <c r="K22" s="28">
        <f t="shared" si="2"/>
        <v>0</v>
      </c>
      <c r="M22" s="31">
        <v>40652</v>
      </c>
      <c r="N22" s="42" t="s">
        <v>68</v>
      </c>
      <c r="O22" s="28">
        <f>SUMIF($B$5:$B$91,"4月19日",$F$5:$F$91)</f>
        <v>0</v>
      </c>
      <c r="P22" s="28">
        <f>SUMIF($B$5:$B$91,"4月19日",$G$5:$G$91)</f>
        <v>0</v>
      </c>
      <c r="Q22" s="32">
        <f t="shared" si="0"/>
        <v>0</v>
      </c>
    </row>
    <row r="23" spans="1:17" ht="14.25">
      <c r="A23" s="15"/>
      <c r="B23" s="10"/>
      <c r="C23" s="22" t="s">
        <v>33</v>
      </c>
      <c r="D23" s="11"/>
      <c r="E23" s="12"/>
      <c r="F23" s="13"/>
      <c r="G23" s="13"/>
      <c r="H23" s="14">
        <f t="shared" si="1"/>
      </c>
      <c r="J23" s="27" t="str">
        <f>IF('１月'!J23="","",'１月'!J23)</f>
        <v>外注費</v>
      </c>
      <c r="K23" s="28">
        <f t="shared" si="2"/>
        <v>0</v>
      </c>
      <c r="M23" s="31">
        <v>40653</v>
      </c>
      <c r="N23" s="42" t="s">
        <v>69</v>
      </c>
      <c r="O23" s="28">
        <f>SUMIF($B$5:$B$91,"4月20日",$F$5:$F$91)</f>
        <v>0</v>
      </c>
      <c r="P23" s="28">
        <f>SUMIF($B$5:$B$91,"4月20日",$G$5:$G$91)</f>
        <v>0</v>
      </c>
      <c r="Q23" s="32">
        <f t="shared" si="0"/>
        <v>0</v>
      </c>
    </row>
    <row r="24" spans="1:17" ht="14.25">
      <c r="A24" s="15"/>
      <c r="B24" s="10"/>
      <c r="C24" s="22" t="s">
        <v>33</v>
      </c>
      <c r="D24" s="11"/>
      <c r="E24" s="12"/>
      <c r="F24" s="13"/>
      <c r="G24" s="13"/>
      <c r="H24" s="14">
        <f t="shared" si="1"/>
      </c>
      <c r="J24" s="27">
        <f>IF('１月'!J24="","",'１月'!J24)</f>
      </c>
      <c r="K24" s="28">
        <f t="shared" si="2"/>
        <v>0</v>
      </c>
      <c r="M24" s="31">
        <v>40654</v>
      </c>
      <c r="N24" s="42" t="s">
        <v>70</v>
      </c>
      <c r="O24" s="28">
        <f>SUMIF($B$5:$B$91,"4月21日",$F$5:$F$91)</f>
        <v>0</v>
      </c>
      <c r="P24" s="28">
        <f>SUMIF($B$5:$B$91,"4月21日",$G$5:$G$91)</f>
        <v>0</v>
      </c>
      <c r="Q24" s="32">
        <f t="shared" si="0"/>
        <v>0</v>
      </c>
    </row>
    <row r="25" spans="1:17" ht="14.25">
      <c r="A25" s="15"/>
      <c r="B25" s="10"/>
      <c r="C25" s="22" t="s">
        <v>33</v>
      </c>
      <c r="D25" s="11"/>
      <c r="E25" s="12"/>
      <c r="F25" s="13"/>
      <c r="G25" s="13"/>
      <c r="H25" s="14">
        <f t="shared" si="1"/>
      </c>
      <c r="J25" s="27" t="str">
        <f>IF('１月'!J25="","",'１月'!J25)</f>
        <v>　</v>
      </c>
      <c r="K25" s="28">
        <f t="shared" si="2"/>
        <v>0</v>
      </c>
      <c r="M25" s="31">
        <v>40655</v>
      </c>
      <c r="N25" s="42" t="s">
        <v>71</v>
      </c>
      <c r="O25" s="28">
        <f>SUMIF($B$5:$B$91,"4月22日",$F$5:$F$91)</f>
        <v>0</v>
      </c>
      <c r="P25" s="28">
        <f>SUMIF($B$5:$B$91,"4月22日",$G$5:$G$91)</f>
        <v>0</v>
      </c>
      <c r="Q25" s="32">
        <f t="shared" si="0"/>
        <v>0</v>
      </c>
    </row>
    <row r="26" spans="1:17" ht="14.25">
      <c r="A26" s="15"/>
      <c r="B26" s="10"/>
      <c r="C26" s="22" t="s">
        <v>33</v>
      </c>
      <c r="D26" s="11"/>
      <c r="E26" s="12"/>
      <c r="F26" s="13"/>
      <c r="G26" s="13"/>
      <c r="H26" s="14">
        <f t="shared" si="1"/>
      </c>
      <c r="J26" s="27">
        <f>IF('１月'!J26="","",'１月'!J26)</f>
      </c>
      <c r="K26" s="28">
        <f t="shared" si="2"/>
        <v>0</v>
      </c>
      <c r="M26" s="31">
        <v>40656</v>
      </c>
      <c r="N26" s="42" t="s">
        <v>72</v>
      </c>
      <c r="O26" s="28">
        <f>SUMIF($B$5:$B$91,"4月23日",$F$5:$F$91)</f>
        <v>0</v>
      </c>
      <c r="P26" s="28">
        <f>SUMIF($B$5:$B$91,"4月23日",$G$5:$G$91)</f>
        <v>0</v>
      </c>
      <c r="Q26" s="32">
        <f t="shared" si="0"/>
        <v>0</v>
      </c>
    </row>
    <row r="27" spans="1:17" ht="14.25">
      <c r="A27" s="15"/>
      <c r="B27" s="10"/>
      <c r="C27" s="22" t="s">
        <v>33</v>
      </c>
      <c r="D27" s="11"/>
      <c r="E27" s="12"/>
      <c r="F27" s="13"/>
      <c r="G27" s="13"/>
      <c r="H27" s="14">
        <f t="shared" si="1"/>
      </c>
      <c r="J27" s="27">
        <f>IF('１月'!J27="","",'１月'!J27)</f>
      </c>
      <c r="K27" s="28">
        <f t="shared" si="2"/>
        <v>0</v>
      </c>
      <c r="M27" s="31">
        <v>40657</v>
      </c>
      <c r="N27" s="42" t="s">
        <v>66</v>
      </c>
      <c r="O27" s="28">
        <f>SUMIF($B$5:$B$91,"4月24日",$F$5:$F$91)</f>
        <v>0</v>
      </c>
      <c r="P27" s="28">
        <f>SUMIF($B$5:$B$91,"4月24日",$G$5:$G$91)</f>
        <v>0</v>
      </c>
      <c r="Q27" s="32">
        <f t="shared" si="0"/>
        <v>0</v>
      </c>
    </row>
    <row r="28" spans="1:17" ht="14.25">
      <c r="A28" s="15"/>
      <c r="B28" s="10"/>
      <c r="C28" s="22" t="s">
        <v>33</v>
      </c>
      <c r="D28" s="11"/>
      <c r="E28" s="12"/>
      <c r="F28" s="13"/>
      <c r="G28" s="13"/>
      <c r="H28" s="14">
        <f t="shared" si="1"/>
      </c>
      <c r="J28" s="27" t="str">
        <f>IF('１月'!J28="","",'１月'!J28)</f>
        <v>雑費</v>
      </c>
      <c r="K28" s="28">
        <f t="shared" si="2"/>
        <v>0</v>
      </c>
      <c r="M28" s="31">
        <v>40658</v>
      </c>
      <c r="N28" s="42" t="s">
        <v>67</v>
      </c>
      <c r="O28" s="28">
        <f>SUMIF($B$5:$B$91,"4月25日",$F$5:$F$91)</f>
        <v>0</v>
      </c>
      <c r="P28" s="28">
        <f>SUMIF($B$5:$B$91,"4月25日",$G$5:$G$91)</f>
        <v>0</v>
      </c>
      <c r="Q28" s="32">
        <f t="shared" si="0"/>
        <v>0</v>
      </c>
    </row>
    <row r="29" spans="1:17" ht="14.25">
      <c r="A29" s="15"/>
      <c r="B29" s="10"/>
      <c r="C29" s="22" t="s">
        <v>33</v>
      </c>
      <c r="D29" s="11"/>
      <c r="E29" s="12"/>
      <c r="F29" s="13"/>
      <c r="G29" s="13"/>
      <c r="H29" s="14">
        <f t="shared" si="1"/>
      </c>
      <c r="J29" s="27" t="str">
        <f>IF('１月'!J29="","",'１月'!J29)</f>
        <v>経費合計</v>
      </c>
      <c r="K29" s="28">
        <f>SUM(K6:K28)</f>
        <v>0</v>
      </c>
      <c r="M29" s="31">
        <v>40659</v>
      </c>
      <c r="N29" s="42" t="s">
        <v>68</v>
      </c>
      <c r="O29" s="28">
        <f>SUMIF($B$5:$B$91,"4月26日",$F$5:$F$91)</f>
        <v>0</v>
      </c>
      <c r="P29" s="28">
        <f>SUMIF($B$5:$B$91,"4月26日",$G$5:$G$91)</f>
        <v>0</v>
      </c>
      <c r="Q29" s="32">
        <f t="shared" si="0"/>
        <v>0</v>
      </c>
    </row>
    <row r="30" spans="1:17" ht="14.25">
      <c r="A30" s="15"/>
      <c r="B30" s="10"/>
      <c r="C30" s="22" t="s">
        <v>33</v>
      </c>
      <c r="D30" s="11"/>
      <c r="E30" s="12"/>
      <c r="F30" s="13"/>
      <c r="G30" s="13"/>
      <c r="H30" s="14">
        <f t="shared" si="1"/>
      </c>
      <c r="J30" s="27" t="str">
        <f>IF('１月'!J30="","",'１月'!J30)</f>
        <v>利益</v>
      </c>
      <c r="K30" s="28">
        <f>K5-K29</f>
        <v>0</v>
      </c>
      <c r="M30" s="31">
        <v>40660</v>
      </c>
      <c r="N30" s="42" t="s">
        <v>69</v>
      </c>
      <c r="O30" s="28">
        <f>SUMIF($B$5:$B$91,"4月27日",$F$5:$F$91)</f>
        <v>0</v>
      </c>
      <c r="P30" s="28">
        <f>SUMIF($B$5:$B$91,"4月27日",$G$5:$G$91)</f>
        <v>0</v>
      </c>
      <c r="Q30" s="32">
        <f t="shared" si="0"/>
        <v>0</v>
      </c>
    </row>
    <row r="31" spans="1:17" ht="13.5">
      <c r="A31" s="15"/>
      <c r="B31" s="10"/>
      <c r="C31" s="22" t="s">
        <v>33</v>
      </c>
      <c r="D31" s="11"/>
      <c r="E31" s="12"/>
      <c r="F31" s="13"/>
      <c r="G31" s="13"/>
      <c r="H31" s="14">
        <f t="shared" si="1"/>
      </c>
      <c r="J31" s="27" t="str">
        <f>IF('１月'!J31="","",'１月'!J31)</f>
        <v>入金</v>
      </c>
      <c r="K31" s="28">
        <f>SUMIF($C$5:$C$91,J31,$F$5:$F$91)</f>
        <v>0</v>
      </c>
      <c r="M31" s="31">
        <v>40661</v>
      </c>
      <c r="N31" s="42" t="s">
        <v>70</v>
      </c>
      <c r="O31" s="28">
        <f>SUMIF($B$5:$B$91,"4月28日",$F$5:$F$91)</f>
        <v>0</v>
      </c>
      <c r="P31" s="28">
        <f>SUMIF($B$5:$B$91,"4月28日",$G$5:$G$91)</f>
        <v>0</v>
      </c>
      <c r="Q31" s="32">
        <f t="shared" si="0"/>
        <v>0</v>
      </c>
    </row>
    <row r="32" spans="1:17" ht="13.5">
      <c r="A32" s="15"/>
      <c r="B32" s="10"/>
      <c r="C32" s="22" t="s">
        <v>33</v>
      </c>
      <c r="D32" s="11"/>
      <c r="E32" s="12"/>
      <c r="F32" s="13"/>
      <c r="G32" s="13"/>
      <c r="H32" s="14">
        <f t="shared" si="1"/>
      </c>
      <c r="J32" s="27" t="str">
        <f>IF('１月'!J32="","",'１月'!J32)</f>
        <v>その他支払い</v>
      </c>
      <c r="K32" s="28">
        <f>SUMIF($C$5:$C$91,J32,$G$5:$G$91)</f>
        <v>0</v>
      </c>
      <c r="M32" s="31">
        <v>40662</v>
      </c>
      <c r="N32" s="42" t="s">
        <v>71</v>
      </c>
      <c r="O32" s="28">
        <f>SUMIF($B$5:$B$91,"4月29日",$F$5:$F$91)</f>
        <v>0</v>
      </c>
      <c r="P32" s="28">
        <f>SUMIF($B$5:$B$91,"4月29日",$G$5:$G$91)</f>
        <v>0</v>
      </c>
      <c r="Q32" s="32">
        <f t="shared" si="0"/>
        <v>0</v>
      </c>
    </row>
    <row r="33" spans="1:17" ht="13.5">
      <c r="A33" s="15"/>
      <c r="B33" s="10"/>
      <c r="C33" s="22" t="s">
        <v>33</v>
      </c>
      <c r="D33" s="11"/>
      <c r="E33" s="12"/>
      <c r="F33" s="13"/>
      <c r="G33" s="13"/>
      <c r="H33" s="14">
        <f t="shared" si="1"/>
      </c>
      <c r="K33" s="3"/>
      <c r="M33" s="31">
        <v>40663</v>
      </c>
      <c r="N33" s="42" t="s">
        <v>72</v>
      </c>
      <c r="O33" s="28">
        <f>SUMIF($B$5:$B$91,"4月30日",$F$5:$F$91)</f>
        <v>0</v>
      </c>
      <c r="P33" s="28">
        <f>SUMIF($B$5:$B$91,"4月30日",$G$5:$G$91)</f>
        <v>0</v>
      </c>
      <c r="Q33" s="32">
        <f t="shared" si="0"/>
        <v>0</v>
      </c>
    </row>
    <row r="34" spans="1:17" ht="13.5">
      <c r="A34" s="15"/>
      <c r="B34" s="10"/>
      <c r="C34" s="22" t="s">
        <v>33</v>
      </c>
      <c r="D34" s="11"/>
      <c r="E34" s="12"/>
      <c r="F34" s="13"/>
      <c r="G34" s="13"/>
      <c r="H34" s="14">
        <f t="shared" si="1"/>
      </c>
      <c r="K34" s="3"/>
      <c r="M34" s="27"/>
      <c r="N34" s="27"/>
      <c r="O34" s="32">
        <f>SUM(O4:O33)</f>
        <v>0</v>
      </c>
      <c r="P34" s="32">
        <f>SUM(P4:P33)</f>
        <v>0</v>
      </c>
      <c r="Q34" s="32">
        <f t="shared" si="0"/>
        <v>0</v>
      </c>
    </row>
    <row r="35" spans="1:11" ht="13.5">
      <c r="A35" s="15"/>
      <c r="B35" s="10"/>
      <c r="C35" s="22" t="s">
        <v>33</v>
      </c>
      <c r="D35" s="11"/>
      <c r="E35" s="12"/>
      <c r="F35" s="13"/>
      <c r="G35" s="13"/>
      <c r="H35" s="14">
        <f t="shared" si="1"/>
      </c>
      <c r="K35" s="3"/>
    </row>
    <row r="36" spans="1:8" ht="13.5">
      <c r="A36" s="15"/>
      <c r="B36" s="10"/>
      <c r="C36" s="22" t="s">
        <v>33</v>
      </c>
      <c r="D36" s="11"/>
      <c r="E36" s="12"/>
      <c r="F36" s="13"/>
      <c r="G36" s="13"/>
      <c r="H36" s="14">
        <f t="shared" si="1"/>
      </c>
    </row>
    <row r="37" spans="1:11" ht="13.5">
      <c r="A37" s="15"/>
      <c r="B37" s="10"/>
      <c r="C37" s="22" t="s">
        <v>33</v>
      </c>
      <c r="D37" s="11"/>
      <c r="E37" s="12"/>
      <c r="F37" s="13"/>
      <c r="G37" s="13"/>
      <c r="H37" s="14">
        <f t="shared" si="1"/>
      </c>
      <c r="J37" s="27">
        <f>IF('１月'!J37="","",'１月'!J37)</f>
      </c>
      <c r="K37" s="28">
        <f aca="true" t="shared" si="3" ref="K37:K46">SUMIF($D$5:$D$91,J37,$G$5:$G$91)</f>
        <v>0</v>
      </c>
    </row>
    <row r="38" spans="1:11" ht="13.5">
      <c r="A38" s="15"/>
      <c r="B38" s="10"/>
      <c r="C38" s="22" t="s">
        <v>33</v>
      </c>
      <c r="D38" s="11"/>
      <c r="E38" s="12"/>
      <c r="F38" s="13"/>
      <c r="G38" s="13"/>
      <c r="H38" s="14">
        <f t="shared" si="1"/>
      </c>
      <c r="J38" s="27">
        <f>IF('１月'!J38="","",'１月'!J38)</f>
      </c>
      <c r="K38" s="28">
        <f t="shared" si="3"/>
        <v>0</v>
      </c>
    </row>
    <row r="39" spans="1:11" ht="13.5">
      <c r="A39" s="15"/>
      <c r="B39" s="10"/>
      <c r="C39" s="22" t="s">
        <v>33</v>
      </c>
      <c r="D39" s="11"/>
      <c r="E39" s="12"/>
      <c r="F39" s="13"/>
      <c r="G39" s="13"/>
      <c r="H39" s="14">
        <f t="shared" si="1"/>
      </c>
      <c r="J39" s="27">
        <f>IF('１月'!J39="","",'１月'!J39)</f>
      </c>
      <c r="K39" s="28">
        <f t="shared" si="3"/>
        <v>0</v>
      </c>
    </row>
    <row r="40" spans="1:11" ht="13.5">
      <c r="A40" s="15"/>
      <c r="B40" s="10"/>
      <c r="C40" s="22" t="s">
        <v>33</v>
      </c>
      <c r="D40" s="11"/>
      <c r="E40" s="12"/>
      <c r="F40" s="13"/>
      <c r="G40" s="13"/>
      <c r="H40" s="14">
        <f t="shared" si="1"/>
      </c>
      <c r="J40" s="27">
        <f>IF('１月'!J40="","",'１月'!J40)</f>
      </c>
      <c r="K40" s="28">
        <f t="shared" si="3"/>
        <v>0</v>
      </c>
    </row>
    <row r="41" spans="1:11" ht="13.5">
      <c r="A41" s="15"/>
      <c r="B41" s="10"/>
      <c r="C41" s="22" t="s">
        <v>33</v>
      </c>
      <c r="D41" s="11"/>
      <c r="E41" s="12"/>
      <c r="F41" s="13"/>
      <c r="G41" s="13"/>
      <c r="H41" s="14">
        <f t="shared" si="1"/>
      </c>
      <c r="J41" s="27">
        <f>IF('１月'!J41="","",'１月'!J41)</f>
      </c>
      <c r="K41" s="28">
        <f t="shared" si="3"/>
        <v>0</v>
      </c>
    </row>
    <row r="42" spans="1:11" ht="13.5">
      <c r="A42" s="15"/>
      <c r="B42" s="10"/>
      <c r="C42" s="22" t="s">
        <v>33</v>
      </c>
      <c r="D42" s="11"/>
      <c r="E42" s="12"/>
      <c r="F42" s="13"/>
      <c r="G42" s="13"/>
      <c r="H42" s="14">
        <f t="shared" si="1"/>
      </c>
      <c r="J42" s="27">
        <f>IF('１月'!J42="","",'１月'!J42)</f>
      </c>
      <c r="K42" s="28">
        <f t="shared" si="3"/>
        <v>0</v>
      </c>
    </row>
    <row r="43" spans="1:11" ht="13.5">
      <c r="A43" s="15"/>
      <c r="B43" s="10"/>
      <c r="C43" s="22" t="s">
        <v>33</v>
      </c>
      <c r="D43" s="11"/>
      <c r="E43" s="12"/>
      <c r="F43" s="13"/>
      <c r="G43" s="13"/>
      <c r="H43" s="14">
        <f t="shared" si="1"/>
      </c>
      <c r="J43" s="27">
        <f>IF('１月'!J43="","",'１月'!J43)</f>
      </c>
      <c r="K43" s="28">
        <f t="shared" si="3"/>
        <v>0</v>
      </c>
    </row>
    <row r="44" spans="1:11" ht="13.5">
      <c r="A44" s="15"/>
      <c r="B44" s="10"/>
      <c r="C44" s="22" t="s">
        <v>33</v>
      </c>
      <c r="D44" s="11"/>
      <c r="E44" s="12"/>
      <c r="F44" s="13"/>
      <c r="G44" s="13"/>
      <c r="H44" s="14">
        <f t="shared" si="1"/>
      </c>
      <c r="J44" s="27">
        <f>IF('１月'!J44="","",'１月'!J44)</f>
      </c>
      <c r="K44" s="28">
        <f t="shared" si="3"/>
        <v>0</v>
      </c>
    </row>
    <row r="45" spans="1:11" ht="13.5">
      <c r="A45" s="15"/>
      <c r="B45" s="10"/>
      <c r="C45" s="22" t="s">
        <v>33</v>
      </c>
      <c r="D45" s="11"/>
      <c r="E45" s="12"/>
      <c r="F45" s="13"/>
      <c r="G45" s="13"/>
      <c r="H45" s="14">
        <f t="shared" si="1"/>
      </c>
      <c r="J45" s="27">
        <f>IF('１月'!J45="","",'１月'!J45)</f>
      </c>
      <c r="K45" s="28">
        <f t="shared" si="3"/>
        <v>0</v>
      </c>
    </row>
    <row r="46" spans="1:11" ht="13.5">
      <c r="A46" s="15"/>
      <c r="B46" s="10"/>
      <c r="C46" s="22" t="s">
        <v>33</v>
      </c>
      <c r="D46" s="11"/>
      <c r="E46" s="12"/>
      <c r="F46" s="13"/>
      <c r="G46" s="13"/>
      <c r="H46" s="14">
        <f t="shared" si="1"/>
      </c>
      <c r="J46" s="27">
        <f>IF('１月'!J46="","",'１月'!J46)</f>
      </c>
      <c r="K46" s="28">
        <f t="shared" si="3"/>
        <v>0</v>
      </c>
    </row>
    <row r="47" spans="1:8" ht="13.5">
      <c r="A47" s="15"/>
      <c r="B47" s="10"/>
      <c r="C47" s="22" t="s">
        <v>33</v>
      </c>
      <c r="D47" s="11"/>
      <c r="E47" s="12"/>
      <c r="F47" s="13"/>
      <c r="G47" s="13"/>
      <c r="H47" s="14">
        <f t="shared" si="1"/>
      </c>
    </row>
    <row r="48" spans="1:8" ht="13.5">
      <c r="A48" s="15"/>
      <c r="B48" s="10"/>
      <c r="C48" s="22" t="s">
        <v>33</v>
      </c>
      <c r="D48" s="11"/>
      <c r="E48" s="12"/>
      <c r="F48" s="13"/>
      <c r="G48" s="13"/>
      <c r="H48" s="14">
        <f t="shared" si="1"/>
      </c>
    </row>
    <row r="49" spans="1:8" ht="13.5">
      <c r="A49" s="15"/>
      <c r="B49" s="10"/>
      <c r="C49" s="22" t="s">
        <v>33</v>
      </c>
      <c r="D49" s="11"/>
      <c r="E49" s="12"/>
      <c r="F49" s="13"/>
      <c r="G49" s="13"/>
      <c r="H49" s="14">
        <f t="shared" si="1"/>
      </c>
    </row>
    <row r="50" spans="1:8" ht="13.5">
      <c r="A50" s="15"/>
      <c r="B50" s="10"/>
      <c r="C50" s="22" t="s">
        <v>33</v>
      </c>
      <c r="D50" s="11"/>
      <c r="E50" s="12"/>
      <c r="F50" s="13"/>
      <c r="G50" s="13"/>
      <c r="H50" s="14">
        <f t="shared" si="1"/>
      </c>
    </row>
    <row r="51" spans="1:8" ht="13.5">
      <c r="A51" s="15"/>
      <c r="B51" s="10"/>
      <c r="C51" s="22" t="s">
        <v>33</v>
      </c>
      <c r="D51" s="11"/>
      <c r="E51" s="12"/>
      <c r="F51" s="13"/>
      <c r="G51" s="13"/>
      <c r="H51" s="14">
        <f t="shared" si="1"/>
      </c>
    </row>
    <row r="52" spans="1:8" ht="13.5">
      <c r="A52" s="15"/>
      <c r="B52" s="10"/>
      <c r="C52" s="22" t="s">
        <v>33</v>
      </c>
      <c r="D52" s="11"/>
      <c r="E52" s="12"/>
      <c r="F52" s="13"/>
      <c r="G52" s="13"/>
      <c r="H52" s="14">
        <f t="shared" si="1"/>
      </c>
    </row>
    <row r="53" spans="1:8" ht="13.5">
      <c r="A53" s="15"/>
      <c r="B53" s="10"/>
      <c r="C53" s="22" t="s">
        <v>33</v>
      </c>
      <c r="D53" s="11"/>
      <c r="E53" s="12"/>
      <c r="F53" s="13"/>
      <c r="G53" s="13"/>
      <c r="H53" s="14">
        <f t="shared" si="1"/>
      </c>
    </row>
    <row r="54" spans="1:8" ht="13.5">
      <c r="A54" s="15"/>
      <c r="B54" s="10"/>
      <c r="C54" s="22" t="s">
        <v>33</v>
      </c>
      <c r="D54" s="11"/>
      <c r="E54" s="12"/>
      <c r="F54" s="13"/>
      <c r="G54" s="13"/>
      <c r="H54" s="14">
        <f t="shared" si="1"/>
      </c>
    </row>
    <row r="55" spans="1:8" ht="13.5">
      <c r="A55" s="15"/>
      <c r="B55" s="10"/>
      <c r="C55" s="22" t="s">
        <v>33</v>
      </c>
      <c r="D55" s="11"/>
      <c r="E55" s="12"/>
      <c r="F55" s="13"/>
      <c r="G55" s="13"/>
      <c r="H55" s="14">
        <f t="shared" si="1"/>
      </c>
    </row>
    <row r="56" spans="1:8" ht="13.5">
      <c r="A56" s="15"/>
      <c r="B56" s="10"/>
      <c r="C56" s="22" t="s">
        <v>33</v>
      </c>
      <c r="D56" s="11"/>
      <c r="E56" s="12"/>
      <c r="F56" s="13"/>
      <c r="G56" s="13"/>
      <c r="H56" s="14">
        <f t="shared" si="1"/>
      </c>
    </row>
    <row r="57" spans="1:8" ht="13.5">
      <c r="A57" s="15"/>
      <c r="B57" s="10"/>
      <c r="C57" s="22" t="s">
        <v>33</v>
      </c>
      <c r="D57" s="11"/>
      <c r="E57" s="12"/>
      <c r="F57" s="13"/>
      <c r="G57" s="13"/>
      <c r="H57" s="14">
        <f t="shared" si="1"/>
      </c>
    </row>
    <row r="58" spans="1:8" ht="13.5">
      <c r="A58" s="15"/>
      <c r="B58" s="10"/>
      <c r="C58" s="22" t="s">
        <v>33</v>
      </c>
      <c r="D58" s="11"/>
      <c r="E58" s="12"/>
      <c r="F58" s="13"/>
      <c r="G58" s="13"/>
      <c r="H58" s="14">
        <f t="shared" si="1"/>
      </c>
    </row>
    <row r="59" spans="1:8" ht="13.5">
      <c r="A59" s="15"/>
      <c r="B59" s="10"/>
      <c r="C59" s="22" t="s">
        <v>33</v>
      </c>
      <c r="D59" s="11"/>
      <c r="E59" s="12"/>
      <c r="F59" s="13"/>
      <c r="G59" s="13"/>
      <c r="H59" s="14">
        <f t="shared" si="1"/>
      </c>
    </row>
    <row r="60" spans="1:8" ht="13.5">
      <c r="A60" s="15"/>
      <c r="B60" s="10"/>
      <c r="C60" s="22" t="s">
        <v>33</v>
      </c>
      <c r="D60" s="11"/>
      <c r="E60" s="12"/>
      <c r="F60" s="13"/>
      <c r="G60" s="13"/>
      <c r="H60" s="14">
        <f t="shared" si="1"/>
      </c>
    </row>
    <row r="61" spans="1:8" ht="13.5">
      <c r="A61" s="15"/>
      <c r="B61" s="10"/>
      <c r="C61" s="22" t="s">
        <v>33</v>
      </c>
      <c r="D61" s="11"/>
      <c r="E61" s="12"/>
      <c r="F61" s="13"/>
      <c r="G61" s="13"/>
      <c r="H61" s="14">
        <f t="shared" si="1"/>
      </c>
    </row>
    <row r="62" spans="1:8" ht="13.5">
      <c r="A62" s="15"/>
      <c r="B62" s="10"/>
      <c r="C62" s="22" t="s">
        <v>33</v>
      </c>
      <c r="D62" s="11"/>
      <c r="E62" s="12"/>
      <c r="F62" s="13"/>
      <c r="G62" s="13"/>
      <c r="H62" s="14">
        <f t="shared" si="1"/>
      </c>
    </row>
    <row r="63" spans="1:8" ht="13.5">
      <c r="A63" s="15"/>
      <c r="B63" s="10"/>
      <c r="C63" s="22" t="s">
        <v>33</v>
      </c>
      <c r="D63" s="11"/>
      <c r="E63" s="12"/>
      <c r="F63" s="13"/>
      <c r="G63" s="13"/>
      <c r="H63" s="14">
        <f t="shared" si="1"/>
      </c>
    </row>
    <row r="64" spans="1:8" ht="13.5">
      <c r="A64" s="15"/>
      <c r="B64" s="10"/>
      <c r="C64" s="22" t="s">
        <v>33</v>
      </c>
      <c r="D64" s="11"/>
      <c r="E64" s="12"/>
      <c r="F64" s="13"/>
      <c r="G64" s="13"/>
      <c r="H64" s="14">
        <f t="shared" si="1"/>
      </c>
    </row>
    <row r="65" spans="1:8" ht="13.5">
      <c r="A65" s="15"/>
      <c r="B65" s="10"/>
      <c r="C65" s="22" t="s">
        <v>33</v>
      </c>
      <c r="D65" s="11"/>
      <c r="E65" s="12"/>
      <c r="F65" s="13"/>
      <c r="G65" s="13"/>
      <c r="H65" s="14">
        <f t="shared" si="1"/>
      </c>
    </row>
    <row r="66" spans="1:8" ht="13.5">
      <c r="A66" s="15"/>
      <c r="B66" s="10"/>
      <c r="C66" s="22" t="s">
        <v>33</v>
      </c>
      <c r="D66" s="11"/>
      <c r="E66" s="12"/>
      <c r="F66" s="13"/>
      <c r="G66" s="13"/>
      <c r="H66" s="14">
        <f t="shared" si="1"/>
      </c>
    </row>
    <row r="67" spans="1:8" ht="13.5">
      <c r="A67" s="15"/>
      <c r="B67" s="10"/>
      <c r="C67" s="22" t="s">
        <v>33</v>
      </c>
      <c r="D67" s="11"/>
      <c r="E67" s="12"/>
      <c r="F67" s="13"/>
      <c r="G67" s="13"/>
      <c r="H67" s="14">
        <f t="shared" si="1"/>
      </c>
    </row>
    <row r="68" spans="1:8" ht="13.5">
      <c r="A68" s="15"/>
      <c r="B68" s="10"/>
      <c r="C68" s="22" t="s">
        <v>33</v>
      </c>
      <c r="D68" s="11"/>
      <c r="E68" s="12"/>
      <c r="F68" s="13"/>
      <c r="G68" s="13"/>
      <c r="H68" s="14">
        <f t="shared" si="1"/>
      </c>
    </row>
    <row r="69" spans="1:8" ht="13.5">
      <c r="A69" s="15"/>
      <c r="B69" s="10"/>
      <c r="C69" s="22" t="s">
        <v>33</v>
      </c>
      <c r="D69" s="11"/>
      <c r="E69" s="12"/>
      <c r="F69" s="13"/>
      <c r="G69" s="13"/>
      <c r="H69" s="14">
        <f t="shared" si="1"/>
      </c>
    </row>
    <row r="70" spans="1:8" ht="13.5">
      <c r="A70" s="15"/>
      <c r="B70" s="10"/>
      <c r="C70" s="22" t="s">
        <v>33</v>
      </c>
      <c r="D70" s="11"/>
      <c r="E70" s="12"/>
      <c r="F70" s="13"/>
      <c r="G70" s="13"/>
      <c r="H70" s="14">
        <f aca="true" t="shared" si="4" ref="H70:H91">IF(OR(H69="",AND(F70="",G70="")),"",H69+F70-G70)</f>
      </c>
    </row>
    <row r="71" spans="1:8" ht="13.5">
      <c r="A71" s="15"/>
      <c r="B71" s="10"/>
      <c r="C71" s="22" t="s">
        <v>33</v>
      </c>
      <c r="D71" s="11"/>
      <c r="E71" s="12"/>
      <c r="F71" s="13"/>
      <c r="G71" s="13"/>
      <c r="H71" s="14">
        <f t="shared" si="4"/>
      </c>
    </row>
    <row r="72" spans="1:8" ht="13.5">
      <c r="A72" s="15"/>
      <c r="B72" s="10"/>
      <c r="C72" s="22" t="s">
        <v>33</v>
      </c>
      <c r="D72" s="11"/>
      <c r="E72" s="12"/>
      <c r="F72" s="13"/>
      <c r="G72" s="13"/>
      <c r="H72" s="14">
        <f t="shared" si="4"/>
      </c>
    </row>
    <row r="73" spans="1:8" ht="13.5">
      <c r="A73" s="15"/>
      <c r="B73" s="10"/>
      <c r="C73" s="22" t="s">
        <v>33</v>
      </c>
      <c r="D73" s="11"/>
      <c r="E73" s="12"/>
      <c r="F73" s="13"/>
      <c r="G73" s="13"/>
      <c r="H73" s="14">
        <f t="shared" si="4"/>
      </c>
    </row>
    <row r="74" spans="1:8" ht="13.5">
      <c r="A74" s="15"/>
      <c r="B74" s="10"/>
      <c r="C74" s="22" t="s">
        <v>33</v>
      </c>
      <c r="D74" s="11"/>
      <c r="E74" s="12"/>
      <c r="F74" s="13"/>
      <c r="G74" s="13"/>
      <c r="H74" s="14">
        <f t="shared" si="4"/>
      </c>
    </row>
    <row r="75" spans="1:8" ht="13.5">
      <c r="A75" s="15"/>
      <c r="B75" s="10"/>
      <c r="C75" s="22" t="s">
        <v>33</v>
      </c>
      <c r="D75" s="11"/>
      <c r="E75" s="12"/>
      <c r="F75" s="13"/>
      <c r="G75" s="13"/>
      <c r="H75" s="14">
        <f t="shared" si="4"/>
      </c>
    </row>
    <row r="76" spans="1:8" ht="13.5">
      <c r="A76" s="15"/>
      <c r="B76" s="10"/>
      <c r="C76" s="22" t="s">
        <v>33</v>
      </c>
      <c r="D76" s="11"/>
      <c r="E76" s="12"/>
      <c r="F76" s="13"/>
      <c r="G76" s="13"/>
      <c r="H76" s="14">
        <f t="shared" si="4"/>
      </c>
    </row>
    <row r="77" spans="1:8" ht="13.5">
      <c r="A77" s="15"/>
      <c r="B77" s="10"/>
      <c r="C77" s="22" t="s">
        <v>33</v>
      </c>
      <c r="D77" s="11"/>
      <c r="E77" s="12"/>
      <c r="F77" s="13"/>
      <c r="G77" s="13"/>
      <c r="H77" s="14">
        <f t="shared" si="4"/>
      </c>
    </row>
    <row r="78" spans="1:8" ht="13.5">
      <c r="A78" s="15"/>
      <c r="B78" s="10"/>
      <c r="C78" s="22" t="s">
        <v>33</v>
      </c>
      <c r="D78" s="11"/>
      <c r="E78" s="12"/>
      <c r="F78" s="13"/>
      <c r="G78" s="13"/>
      <c r="H78" s="14">
        <f t="shared" si="4"/>
      </c>
    </row>
    <row r="79" spans="1:8" ht="13.5">
      <c r="A79" s="15"/>
      <c r="B79" s="10"/>
      <c r="C79" s="22" t="s">
        <v>33</v>
      </c>
      <c r="D79" s="11"/>
      <c r="E79" s="12"/>
      <c r="F79" s="13"/>
      <c r="G79" s="13"/>
      <c r="H79" s="14">
        <f t="shared" si="4"/>
      </c>
    </row>
    <row r="80" spans="1:8" ht="13.5">
      <c r="A80" s="15"/>
      <c r="B80" s="10"/>
      <c r="C80" s="22" t="s">
        <v>33</v>
      </c>
      <c r="D80" s="11"/>
      <c r="E80" s="12"/>
      <c r="F80" s="13"/>
      <c r="G80" s="13"/>
      <c r="H80" s="14">
        <f t="shared" si="4"/>
      </c>
    </row>
    <row r="81" spans="1:8" ht="13.5">
      <c r="A81" s="15"/>
      <c r="B81" s="10"/>
      <c r="C81" s="22" t="s">
        <v>33</v>
      </c>
      <c r="D81" s="11"/>
      <c r="E81" s="12"/>
      <c r="F81" s="13"/>
      <c r="G81" s="13"/>
      <c r="H81" s="14">
        <f t="shared" si="4"/>
      </c>
    </row>
    <row r="82" spans="1:8" ht="13.5">
      <c r="A82" s="15"/>
      <c r="B82" s="10"/>
      <c r="C82" s="22" t="s">
        <v>33</v>
      </c>
      <c r="D82" s="11"/>
      <c r="E82" s="12"/>
      <c r="F82" s="13"/>
      <c r="G82" s="13"/>
      <c r="H82" s="14">
        <f t="shared" si="4"/>
      </c>
    </row>
    <row r="83" spans="1:8" ht="13.5">
      <c r="A83" s="15"/>
      <c r="B83" s="10"/>
      <c r="C83" s="22" t="s">
        <v>33</v>
      </c>
      <c r="D83" s="11"/>
      <c r="E83" s="12"/>
      <c r="F83" s="13"/>
      <c r="G83" s="13"/>
      <c r="H83" s="14">
        <f t="shared" si="4"/>
      </c>
    </row>
    <row r="84" spans="1:8" ht="13.5">
      <c r="A84" s="15"/>
      <c r="B84" s="10"/>
      <c r="C84" s="22" t="s">
        <v>33</v>
      </c>
      <c r="D84" s="11"/>
      <c r="E84" s="12"/>
      <c r="F84" s="13"/>
      <c r="G84" s="13"/>
      <c r="H84" s="14">
        <f t="shared" si="4"/>
      </c>
    </row>
    <row r="85" spans="1:8" ht="13.5">
      <c r="A85" s="15"/>
      <c r="B85" s="10"/>
      <c r="C85" s="22" t="s">
        <v>33</v>
      </c>
      <c r="D85" s="11"/>
      <c r="E85" s="12"/>
      <c r="F85" s="13"/>
      <c r="G85" s="13"/>
      <c r="H85" s="14">
        <f t="shared" si="4"/>
      </c>
    </row>
    <row r="86" spans="1:8" ht="13.5">
      <c r="A86" s="15"/>
      <c r="B86" s="10"/>
      <c r="C86" s="22" t="s">
        <v>33</v>
      </c>
      <c r="D86" s="11"/>
      <c r="E86" s="12"/>
      <c r="F86" s="13"/>
      <c r="G86" s="13"/>
      <c r="H86" s="14">
        <f t="shared" si="4"/>
      </c>
    </row>
    <row r="87" spans="1:8" ht="13.5">
      <c r="A87" s="15"/>
      <c r="B87" s="10"/>
      <c r="C87" s="22" t="s">
        <v>33</v>
      </c>
      <c r="D87" s="11"/>
      <c r="E87" s="12"/>
      <c r="F87" s="13"/>
      <c r="G87" s="13"/>
      <c r="H87" s="14">
        <f t="shared" si="4"/>
      </c>
    </row>
    <row r="88" spans="1:8" ht="13.5">
      <c r="A88" s="15"/>
      <c r="B88" s="10"/>
      <c r="C88" s="22" t="s">
        <v>33</v>
      </c>
      <c r="D88" s="11"/>
      <c r="E88" s="12"/>
      <c r="F88" s="13"/>
      <c r="G88" s="13"/>
      <c r="H88" s="14">
        <f t="shared" si="4"/>
      </c>
    </row>
    <row r="89" spans="1:8" ht="13.5">
      <c r="A89" s="15"/>
      <c r="B89" s="10"/>
      <c r="C89" s="22" t="s">
        <v>33</v>
      </c>
      <c r="D89" s="11"/>
      <c r="E89" s="12"/>
      <c r="F89" s="13"/>
      <c r="G89" s="13"/>
      <c r="H89" s="14">
        <f t="shared" si="4"/>
      </c>
    </row>
    <row r="90" spans="1:8" ht="13.5">
      <c r="A90" s="15"/>
      <c r="B90" s="10"/>
      <c r="C90" s="22" t="s">
        <v>33</v>
      </c>
      <c r="D90" s="11"/>
      <c r="E90" s="12"/>
      <c r="F90" s="13"/>
      <c r="G90" s="13"/>
      <c r="H90" s="14">
        <f t="shared" si="4"/>
      </c>
    </row>
    <row r="91" spans="1:8" ht="14.25" thickBot="1">
      <c r="A91" s="15"/>
      <c r="B91" s="10"/>
      <c r="C91" s="22" t="s">
        <v>33</v>
      </c>
      <c r="D91" s="11"/>
      <c r="E91" s="12"/>
      <c r="F91" s="13"/>
      <c r="G91" s="13"/>
      <c r="H91" s="14">
        <f t="shared" si="4"/>
      </c>
    </row>
    <row r="92" spans="1:8" ht="14.25" thickBot="1">
      <c r="A92" s="15"/>
      <c r="B92" s="17"/>
      <c r="C92" s="18"/>
      <c r="D92" s="18"/>
      <c r="E92" s="19" t="s">
        <v>8</v>
      </c>
      <c r="F92" s="20"/>
      <c r="G92" s="20"/>
      <c r="H92" s="21">
        <f>IF(AND(SUM(F5:F91)=0,SUM(G5:G91)=0),"",SUM(F5:F91)-SUM(G5:G91)+H4)</f>
      </c>
    </row>
  </sheetData>
  <sheetProtection/>
  <mergeCells count="1">
    <mergeCell ref="B1:C1"/>
  </mergeCells>
  <dataValidations count="2">
    <dataValidation type="list" allowBlank="1" showInputMessage="1" showErrorMessage="1" sqref="C5:C91">
      <formula1>$J$3:$J$32</formula1>
    </dataValidation>
    <dataValidation type="list" allowBlank="1" showInputMessage="1" showErrorMessage="1" sqref="D5:D91">
      <formula1>$J$37:$J$46</formula1>
    </dataValidation>
  </dataValidations>
  <printOptions/>
  <pageMargins left="0.75" right="0.75" top="1" bottom="1" header="0.512" footer="0.512"/>
  <pageSetup horizontalDpi="600" verticalDpi="600" orientation="portrait" paperSize="9" r:id="rId3"/>
  <ignoredErrors>
    <ignoredError sqref="K5" formula="1"/>
  </ignoredErrors>
  <legacyDrawing r:id="rId2"/>
</worksheet>
</file>

<file path=xl/worksheets/sheet5.xml><?xml version="1.0" encoding="utf-8"?>
<worksheet xmlns="http://schemas.openxmlformats.org/spreadsheetml/2006/main" xmlns:r="http://schemas.openxmlformats.org/officeDocument/2006/relationships">
  <dimension ref="A1:Q92"/>
  <sheetViews>
    <sheetView zoomScalePageLayoutView="0" workbookViewId="0" topLeftCell="A1">
      <selection activeCell="J24" sqref="J24"/>
    </sheetView>
  </sheetViews>
  <sheetFormatPr defaultColWidth="9.00390625" defaultRowHeight="13.5"/>
  <cols>
    <col min="3" max="3" width="10.875" style="0" customWidth="1"/>
    <col min="4" max="4" width="18.125" style="0" customWidth="1"/>
    <col min="5" max="5" width="22.25390625" style="0" customWidth="1"/>
    <col min="6" max="7" width="11.875" style="0" customWidth="1"/>
    <col min="8" max="8" width="13.125" style="0" customWidth="1"/>
    <col min="10" max="10" width="12.75390625" style="0" bestFit="1" customWidth="1"/>
    <col min="14" max="14" width="5.25390625" style="0" bestFit="1" customWidth="1"/>
  </cols>
  <sheetData>
    <row r="1" spans="1:11" ht="23.25">
      <c r="A1" s="1"/>
      <c r="B1" s="38" t="s">
        <v>9</v>
      </c>
      <c r="C1" s="39"/>
      <c r="D1" s="2"/>
      <c r="E1" s="2"/>
      <c r="F1" s="2"/>
      <c r="G1" s="2"/>
      <c r="H1" s="2"/>
      <c r="K1" s="3"/>
    </row>
    <row r="2" spans="1:11" ht="15" thickBot="1">
      <c r="A2" s="1"/>
      <c r="B2" s="1"/>
      <c r="C2" s="1"/>
      <c r="D2" s="1"/>
      <c r="E2" s="1"/>
      <c r="F2" s="1"/>
      <c r="G2" s="1"/>
      <c r="H2" s="4" t="s">
        <v>46</v>
      </c>
      <c r="K2" s="3"/>
    </row>
    <row r="3" spans="1:17" ht="15" thickBot="1">
      <c r="A3" s="1"/>
      <c r="B3" s="5" t="s">
        <v>1</v>
      </c>
      <c r="C3" s="6" t="s">
        <v>2</v>
      </c>
      <c r="D3" s="7" t="s">
        <v>3</v>
      </c>
      <c r="E3" s="8" t="s">
        <v>4</v>
      </c>
      <c r="F3" s="6" t="s">
        <v>5</v>
      </c>
      <c r="G3" s="6" t="s">
        <v>6</v>
      </c>
      <c r="H3" s="9" t="s">
        <v>7</v>
      </c>
      <c r="J3" s="27" t="str">
        <f>IF('１月'!J3="","",'１月'!J3)</f>
        <v>売上</v>
      </c>
      <c r="K3" s="28">
        <f>SUMIF($C$5:$C$91,J3,$F$5:$F$91)</f>
        <v>0</v>
      </c>
      <c r="M3" s="29" t="s">
        <v>36</v>
      </c>
      <c r="N3" s="29" t="s">
        <v>37</v>
      </c>
      <c r="O3" s="30" t="s">
        <v>38</v>
      </c>
      <c r="P3" s="30" t="s">
        <v>39</v>
      </c>
      <c r="Q3" s="27"/>
    </row>
    <row r="4" spans="1:17" ht="14.25">
      <c r="A4" s="1"/>
      <c r="B4" s="10"/>
      <c r="C4" s="22" t="s">
        <v>33</v>
      </c>
      <c r="D4" s="11"/>
      <c r="E4" s="12" t="s">
        <v>35</v>
      </c>
      <c r="F4" s="13"/>
      <c r="G4" s="13"/>
      <c r="H4" s="14">
        <f>'４月'!H92</f>
      </c>
      <c r="J4" s="27" t="str">
        <f>IF('１月'!J4="","",'１月'!J4)</f>
        <v>仕入</v>
      </c>
      <c r="K4" s="28">
        <f>SUMIF($C$5:$C$91,J4,$G$5:$G$91)</f>
        <v>0</v>
      </c>
      <c r="M4" s="31">
        <v>40664</v>
      </c>
      <c r="N4" s="42" t="s">
        <v>79</v>
      </c>
      <c r="O4" s="28">
        <f>SUMIF($B$5:$B$91,"5月1日",$F$5:$F$91)</f>
        <v>0</v>
      </c>
      <c r="P4" s="28">
        <f>SUMIF($B$5:$B$91,"5月1日",$G$5:$G$91)</f>
        <v>0</v>
      </c>
      <c r="Q4" s="32">
        <f>O4-P4</f>
        <v>0</v>
      </c>
    </row>
    <row r="5" spans="1:17" ht="14.25">
      <c r="A5" s="1"/>
      <c r="B5" s="10"/>
      <c r="C5" s="22" t="s">
        <v>33</v>
      </c>
      <c r="D5" s="11"/>
      <c r="E5" s="12"/>
      <c r="F5" s="13"/>
      <c r="G5" s="13"/>
      <c r="H5" s="14">
        <f>IF(OR(H4="",AND(F5="",G5="")),"",H4+F5-G5)</f>
      </c>
      <c r="J5" s="27" t="str">
        <f>IF('１月'!J5="","",'１月'!J5)</f>
        <v>製造原価</v>
      </c>
      <c r="K5" s="28">
        <f>K3-K4</f>
        <v>0</v>
      </c>
      <c r="M5" s="31">
        <v>40665</v>
      </c>
      <c r="N5" s="42" t="s">
        <v>67</v>
      </c>
      <c r="O5" s="28">
        <f>SUMIF($B$5:$B$91,"5月2日",$F$5:$F$91)</f>
        <v>0</v>
      </c>
      <c r="P5" s="28">
        <f>SUMIF($B$5:$B$91,"5月2日",$G$5:$G$91)</f>
        <v>0</v>
      </c>
      <c r="Q5" s="32">
        <f aca="true" t="shared" si="0" ref="Q5:Q35">O5-P5</f>
        <v>0</v>
      </c>
    </row>
    <row r="6" spans="1:17" ht="14.25">
      <c r="A6" s="1"/>
      <c r="B6" s="10"/>
      <c r="C6" s="22" t="s">
        <v>33</v>
      </c>
      <c r="D6" s="11"/>
      <c r="E6" s="12"/>
      <c r="F6" s="13"/>
      <c r="G6" s="13"/>
      <c r="H6" s="14">
        <f aca="true" t="shared" si="1" ref="H6:H69">IF(OR(H5="",AND(F6="",G6="")),"",H5+F6-G6)</f>
      </c>
      <c r="J6" s="27" t="str">
        <f>IF('１月'!J6="","",'１月'!J6)</f>
        <v>租税公課</v>
      </c>
      <c r="K6" s="28">
        <f>SUMIF($C$5:$C$91,J6,$G$5:$G$91)</f>
        <v>0</v>
      </c>
      <c r="M6" s="31">
        <v>40666</v>
      </c>
      <c r="N6" s="42" t="s">
        <v>68</v>
      </c>
      <c r="O6" s="28">
        <f>SUMIF($B$5:$B$91,"5月3日",$F$5:$F$91)</f>
        <v>0</v>
      </c>
      <c r="P6" s="28">
        <f>SUMIF($B$5:$B$91,"5月3日",$G$5:$G$91)</f>
        <v>0</v>
      </c>
      <c r="Q6" s="32">
        <f t="shared" si="0"/>
        <v>0</v>
      </c>
    </row>
    <row r="7" spans="1:17" ht="14.25">
      <c r="A7" s="1"/>
      <c r="B7" s="10"/>
      <c r="C7" s="22" t="s">
        <v>33</v>
      </c>
      <c r="D7" s="11"/>
      <c r="E7" s="12"/>
      <c r="F7" s="13"/>
      <c r="G7" s="13"/>
      <c r="H7" s="14">
        <f t="shared" si="1"/>
      </c>
      <c r="J7" s="27" t="str">
        <f>IF('１月'!J7="","",'１月'!J7)</f>
        <v>荷造運賃</v>
      </c>
      <c r="K7" s="28">
        <f aca="true" t="shared" si="2" ref="K7:K28">SUMIF($C$5:$C$91,J7,$G$5:$G$91)</f>
        <v>0</v>
      </c>
      <c r="M7" s="31">
        <v>40667</v>
      </c>
      <c r="N7" s="42" t="s">
        <v>69</v>
      </c>
      <c r="O7" s="28">
        <f>SUMIF($B$5:$B$91,"5月4日",$F$5:$F$91)</f>
        <v>0</v>
      </c>
      <c r="P7" s="28">
        <f>SUMIF($B$5:$B$91,"5月4日",$G$5:$G$91)</f>
        <v>0</v>
      </c>
      <c r="Q7" s="32">
        <f t="shared" si="0"/>
        <v>0</v>
      </c>
    </row>
    <row r="8" spans="1:17" ht="14.25">
      <c r="A8" s="1"/>
      <c r="B8" s="10"/>
      <c r="C8" s="22" t="s">
        <v>33</v>
      </c>
      <c r="D8" s="11"/>
      <c r="E8" s="12"/>
      <c r="F8" s="13"/>
      <c r="G8" s="13"/>
      <c r="H8" s="14">
        <f t="shared" si="1"/>
      </c>
      <c r="J8" s="27" t="str">
        <f>IF('１月'!J8="","",'１月'!J8)</f>
        <v>水道光熱費</v>
      </c>
      <c r="K8" s="28">
        <f t="shared" si="2"/>
        <v>0</v>
      </c>
      <c r="M8" s="31">
        <v>40668</v>
      </c>
      <c r="N8" s="42" t="s">
        <v>70</v>
      </c>
      <c r="O8" s="28">
        <f>SUMIF($B$5:$B$91,"5月5日",$F$5:$F$91)</f>
        <v>0</v>
      </c>
      <c r="P8" s="28">
        <f>SUMIF($B$5:$B$91,"5月5日",$G$5:$G$91)</f>
        <v>0</v>
      </c>
      <c r="Q8" s="32">
        <f t="shared" si="0"/>
        <v>0</v>
      </c>
    </row>
    <row r="9" spans="1:17" ht="14.25">
      <c r="A9" s="1"/>
      <c r="B9" s="10"/>
      <c r="C9" s="22" t="s">
        <v>33</v>
      </c>
      <c r="D9" s="11"/>
      <c r="E9" s="12"/>
      <c r="F9" s="13"/>
      <c r="G9" s="13"/>
      <c r="H9" s="14">
        <f t="shared" si="1"/>
      </c>
      <c r="J9" s="27" t="str">
        <f>IF('１月'!J9="","",'１月'!J9)</f>
        <v>旅費交通費</v>
      </c>
      <c r="K9" s="28">
        <f t="shared" si="2"/>
        <v>0</v>
      </c>
      <c r="M9" s="31">
        <v>40669</v>
      </c>
      <c r="N9" s="42" t="s">
        <v>71</v>
      </c>
      <c r="O9" s="28">
        <f>SUMIF($B$5:$B$91,"5月6日",$F$5:$F$91)</f>
        <v>0</v>
      </c>
      <c r="P9" s="28">
        <f>SUMIF($B$5:$B$91,"5月6日",$G$5:$G$91)</f>
        <v>0</v>
      </c>
      <c r="Q9" s="32">
        <f t="shared" si="0"/>
        <v>0</v>
      </c>
    </row>
    <row r="10" spans="1:17" ht="14.25">
      <c r="A10" s="15"/>
      <c r="B10" s="10"/>
      <c r="C10" s="22" t="s">
        <v>33</v>
      </c>
      <c r="D10" s="11"/>
      <c r="E10" s="12"/>
      <c r="F10" s="13"/>
      <c r="G10" s="13"/>
      <c r="H10" s="14">
        <f t="shared" si="1"/>
      </c>
      <c r="J10" s="27" t="str">
        <f>IF('１月'!J10="","",'１月'!J10)</f>
        <v>通信費</v>
      </c>
      <c r="K10" s="28">
        <f t="shared" si="2"/>
        <v>0</v>
      </c>
      <c r="M10" s="31">
        <v>40670</v>
      </c>
      <c r="N10" s="42" t="s">
        <v>72</v>
      </c>
      <c r="O10" s="28">
        <f>SUMIF($B$5:$B$91,"5月7日",$F$5:$F$91)</f>
        <v>0</v>
      </c>
      <c r="P10" s="28">
        <f>SUMIF($B$5:$B$91,"5月7日",$G$5:$G$91)</f>
        <v>0</v>
      </c>
      <c r="Q10" s="32">
        <f t="shared" si="0"/>
        <v>0</v>
      </c>
    </row>
    <row r="11" spans="1:17" ht="14.25">
      <c r="A11" s="15"/>
      <c r="B11" s="10"/>
      <c r="C11" s="22" t="s">
        <v>33</v>
      </c>
      <c r="D11" s="11"/>
      <c r="E11" s="12"/>
      <c r="F11" s="13"/>
      <c r="G11" s="13"/>
      <c r="H11" s="14">
        <f t="shared" si="1"/>
      </c>
      <c r="J11" s="27" t="str">
        <f>IF('１月'!J11="","",'１月'!J11)</f>
        <v>広告宣伝費</v>
      </c>
      <c r="K11" s="28">
        <f t="shared" si="2"/>
        <v>0</v>
      </c>
      <c r="M11" s="31">
        <v>40671</v>
      </c>
      <c r="N11" s="42" t="s">
        <v>66</v>
      </c>
      <c r="O11" s="28">
        <f>SUMIF($B$5:$B$91,"5月8日",$F$5:$F$91)</f>
        <v>0</v>
      </c>
      <c r="P11" s="28">
        <f>SUMIF($B$5:$B$91,"5月8日",$G$5:$G$91)</f>
        <v>0</v>
      </c>
      <c r="Q11" s="32">
        <f t="shared" si="0"/>
        <v>0</v>
      </c>
    </row>
    <row r="12" spans="1:17" ht="14.25">
      <c r="A12" s="15"/>
      <c r="B12" s="10"/>
      <c r="C12" s="22" t="s">
        <v>33</v>
      </c>
      <c r="D12" s="11"/>
      <c r="E12" s="12"/>
      <c r="F12" s="13"/>
      <c r="G12" s="13"/>
      <c r="H12" s="14">
        <f t="shared" si="1"/>
      </c>
      <c r="J12" s="27" t="str">
        <f>IF('１月'!J12="","",'１月'!J12)</f>
        <v>接待交際費</v>
      </c>
      <c r="K12" s="28">
        <f t="shared" si="2"/>
        <v>0</v>
      </c>
      <c r="M12" s="31">
        <v>40672</v>
      </c>
      <c r="N12" s="42" t="s">
        <v>67</v>
      </c>
      <c r="O12" s="28">
        <f>SUMIF($B$5:$B$91,"5月9日",$F$5:$F$91)</f>
        <v>0</v>
      </c>
      <c r="P12" s="28">
        <f>SUMIF($B$5:$B$91,"5月9日",$G$5:$G$91)</f>
        <v>0</v>
      </c>
      <c r="Q12" s="32">
        <f t="shared" si="0"/>
        <v>0</v>
      </c>
    </row>
    <row r="13" spans="1:17" ht="14.25">
      <c r="A13" s="15"/>
      <c r="B13" s="10"/>
      <c r="C13" s="22" t="s">
        <v>33</v>
      </c>
      <c r="D13" s="11"/>
      <c r="E13" s="12"/>
      <c r="F13" s="13"/>
      <c r="G13" s="13"/>
      <c r="H13" s="14">
        <f t="shared" si="1"/>
      </c>
      <c r="J13" s="27" t="str">
        <f>IF('１月'!J13="","",'１月'!J13)</f>
        <v>損害保険料</v>
      </c>
      <c r="K13" s="28">
        <f t="shared" si="2"/>
        <v>0</v>
      </c>
      <c r="M13" s="31">
        <v>40673</v>
      </c>
      <c r="N13" s="42" t="s">
        <v>68</v>
      </c>
      <c r="O13" s="28">
        <f>SUMIF($B$5:$B$91,"5月10日",$F$5:$F$91)</f>
        <v>0</v>
      </c>
      <c r="P13" s="28">
        <f>SUMIF($B$5:$B$91,"5月10日",$G$5:$G$91)</f>
        <v>0</v>
      </c>
      <c r="Q13" s="32">
        <f t="shared" si="0"/>
        <v>0</v>
      </c>
    </row>
    <row r="14" spans="1:17" ht="14.25">
      <c r="A14" s="15"/>
      <c r="B14" s="10"/>
      <c r="C14" s="22" t="s">
        <v>33</v>
      </c>
      <c r="D14" s="11"/>
      <c r="E14" s="12"/>
      <c r="F14" s="13"/>
      <c r="G14" s="13"/>
      <c r="H14" s="14">
        <f t="shared" si="1"/>
      </c>
      <c r="J14" s="27" t="str">
        <f>IF('１月'!J14="","",'１月'!J14)</f>
        <v>修繕費</v>
      </c>
      <c r="K14" s="28">
        <f t="shared" si="2"/>
        <v>0</v>
      </c>
      <c r="M14" s="31">
        <v>40674</v>
      </c>
      <c r="N14" s="42" t="s">
        <v>69</v>
      </c>
      <c r="O14" s="28">
        <f>SUMIF($B$5:$B$91,"5月11日",$F$5:$F$91)</f>
        <v>0</v>
      </c>
      <c r="P14" s="28">
        <f>SUMIF($B$5:$B$91,"5月11日",$G$5:$G$91)</f>
        <v>0</v>
      </c>
      <c r="Q14" s="32">
        <f t="shared" si="0"/>
        <v>0</v>
      </c>
    </row>
    <row r="15" spans="1:17" ht="14.25">
      <c r="A15" s="15"/>
      <c r="B15" s="10"/>
      <c r="C15" s="22" t="s">
        <v>33</v>
      </c>
      <c r="D15" s="11"/>
      <c r="E15" s="16"/>
      <c r="F15" s="13"/>
      <c r="G15" s="13"/>
      <c r="H15" s="14">
        <f t="shared" si="1"/>
      </c>
      <c r="J15" s="27" t="str">
        <f>IF('１月'!J15="","",'１月'!J15)</f>
        <v>消耗品費</v>
      </c>
      <c r="K15" s="28">
        <f t="shared" si="2"/>
        <v>0</v>
      </c>
      <c r="M15" s="31">
        <v>40675</v>
      </c>
      <c r="N15" s="42" t="s">
        <v>70</v>
      </c>
      <c r="O15" s="28">
        <f>SUMIF($B$5:$B$91,"5月12日",$F$5:$F$91)</f>
        <v>0</v>
      </c>
      <c r="P15" s="28">
        <f>SUMIF($B$5:$B$91,"5月12日",$G$5:$G$91)</f>
        <v>0</v>
      </c>
      <c r="Q15" s="32">
        <f t="shared" si="0"/>
        <v>0</v>
      </c>
    </row>
    <row r="16" spans="1:17" ht="14.25">
      <c r="A16" s="15"/>
      <c r="B16" s="10"/>
      <c r="C16" s="22" t="s">
        <v>33</v>
      </c>
      <c r="D16" s="11"/>
      <c r="E16" s="12"/>
      <c r="F16" s="13"/>
      <c r="G16" s="13"/>
      <c r="H16" s="14">
        <f t="shared" si="1"/>
      </c>
      <c r="J16" s="27" t="str">
        <f>IF('１月'!J16="","",'１月'!J16)</f>
        <v>福利厚生費</v>
      </c>
      <c r="K16" s="28">
        <f t="shared" si="2"/>
        <v>0</v>
      </c>
      <c r="M16" s="31">
        <v>40676</v>
      </c>
      <c r="N16" s="42" t="s">
        <v>71</v>
      </c>
      <c r="O16" s="28">
        <f>SUMIF($B$5:$B$91,"5月13日",$F$5:$F$91)</f>
        <v>0</v>
      </c>
      <c r="P16" s="28">
        <f>SUMIF($B$5:$B$91,"5月13日",$G$5:$G$91)</f>
        <v>0</v>
      </c>
      <c r="Q16" s="32">
        <f t="shared" si="0"/>
        <v>0</v>
      </c>
    </row>
    <row r="17" spans="1:17" ht="14.25">
      <c r="A17" s="15"/>
      <c r="B17" s="10"/>
      <c r="C17" s="22" t="s">
        <v>33</v>
      </c>
      <c r="D17" s="11"/>
      <c r="E17" s="12"/>
      <c r="F17" s="13"/>
      <c r="G17" s="13"/>
      <c r="H17" s="14">
        <f t="shared" si="1"/>
      </c>
      <c r="J17" s="27" t="str">
        <f>IF('１月'!J17="","",'１月'!J17)</f>
        <v>給与賃金</v>
      </c>
      <c r="K17" s="28">
        <f t="shared" si="2"/>
        <v>0</v>
      </c>
      <c r="M17" s="31">
        <v>40677</v>
      </c>
      <c r="N17" s="42" t="s">
        <v>72</v>
      </c>
      <c r="O17" s="28">
        <f>SUMIF($B$5:$B$91,"5月14日",$F$5:$F$91)</f>
        <v>0</v>
      </c>
      <c r="P17" s="28">
        <f>SUMIF($B$5:$B$91,"5月14日",$G$5:$G$91)</f>
        <v>0</v>
      </c>
      <c r="Q17" s="32">
        <f t="shared" si="0"/>
        <v>0</v>
      </c>
    </row>
    <row r="18" spans="1:17" ht="14.25">
      <c r="A18" s="15"/>
      <c r="B18" s="10"/>
      <c r="C18" s="22" t="s">
        <v>33</v>
      </c>
      <c r="D18" s="11"/>
      <c r="E18" s="12"/>
      <c r="F18" s="13"/>
      <c r="G18" s="13"/>
      <c r="H18" s="14">
        <f t="shared" si="1"/>
      </c>
      <c r="J18" s="27" t="str">
        <f>IF('１月'!J18="","",'１月'!J18)</f>
        <v>利子割引料</v>
      </c>
      <c r="K18" s="28">
        <f t="shared" si="2"/>
        <v>0</v>
      </c>
      <c r="M18" s="31">
        <v>40678</v>
      </c>
      <c r="N18" s="42" t="s">
        <v>66</v>
      </c>
      <c r="O18" s="28">
        <f>SUMIF($B$5:$B$91,"5月15日",$F$5:$F$91)</f>
        <v>0</v>
      </c>
      <c r="P18" s="28">
        <f>SUMIF($B$5:$B$91,"5月15日",$G$5:$G$91)</f>
        <v>0</v>
      </c>
      <c r="Q18" s="32">
        <f t="shared" si="0"/>
        <v>0</v>
      </c>
    </row>
    <row r="19" spans="1:17" ht="14.25">
      <c r="A19" s="15"/>
      <c r="B19" s="10"/>
      <c r="C19" s="22" t="s">
        <v>33</v>
      </c>
      <c r="D19" s="11"/>
      <c r="E19" s="12"/>
      <c r="F19" s="13"/>
      <c r="G19" s="13"/>
      <c r="H19" s="14">
        <f t="shared" si="1"/>
      </c>
      <c r="J19" s="27" t="str">
        <f>IF('１月'!J19="","",'１月'!J19)</f>
        <v>地代家賃</v>
      </c>
      <c r="K19" s="28">
        <f t="shared" si="2"/>
        <v>0</v>
      </c>
      <c r="M19" s="31">
        <v>40679</v>
      </c>
      <c r="N19" s="42" t="s">
        <v>67</v>
      </c>
      <c r="O19" s="28">
        <f>SUMIF($B$5:$B$91,"5月16日",$F$5:$F$91)</f>
        <v>0</v>
      </c>
      <c r="P19" s="28">
        <f>SUMIF($B$5:$B$91,"5月16日",$G$5:$G$91)</f>
        <v>0</v>
      </c>
      <c r="Q19" s="32">
        <f t="shared" si="0"/>
        <v>0</v>
      </c>
    </row>
    <row r="20" spans="1:17" ht="14.25">
      <c r="A20" s="15"/>
      <c r="B20" s="10"/>
      <c r="C20" s="22" t="s">
        <v>33</v>
      </c>
      <c r="D20" s="11"/>
      <c r="E20" s="12"/>
      <c r="F20" s="13"/>
      <c r="G20" s="13"/>
      <c r="H20" s="14">
        <f t="shared" si="1"/>
      </c>
      <c r="J20" s="27" t="str">
        <f>IF('１月'!J20="","",'１月'!J20)</f>
        <v>貸倒金</v>
      </c>
      <c r="K20" s="28">
        <f t="shared" si="2"/>
        <v>0</v>
      </c>
      <c r="M20" s="31">
        <v>40680</v>
      </c>
      <c r="N20" s="42" t="s">
        <v>68</v>
      </c>
      <c r="O20" s="28">
        <f>SUMIF($B$5:$B$91,"5月17日",$F$5:$F$91)</f>
        <v>0</v>
      </c>
      <c r="P20" s="28">
        <f>SUMIF($B$5:$B$91,"5月17日",$G$5:$G$91)</f>
        <v>0</v>
      </c>
      <c r="Q20" s="32">
        <f t="shared" si="0"/>
        <v>0</v>
      </c>
    </row>
    <row r="21" spans="1:17" ht="14.25">
      <c r="A21" s="15"/>
      <c r="B21" s="10"/>
      <c r="C21" s="22" t="s">
        <v>33</v>
      </c>
      <c r="D21" s="11"/>
      <c r="E21" s="16"/>
      <c r="F21" s="13"/>
      <c r="G21" s="13"/>
      <c r="H21" s="14">
        <f t="shared" si="1"/>
      </c>
      <c r="J21" s="27" t="str">
        <f>IF('１月'!J21="","",'１月'!J21)</f>
        <v>専従者給与</v>
      </c>
      <c r="K21" s="28">
        <f t="shared" si="2"/>
        <v>0</v>
      </c>
      <c r="M21" s="31">
        <v>40681</v>
      </c>
      <c r="N21" s="42" t="s">
        <v>69</v>
      </c>
      <c r="O21" s="28">
        <f>SUMIF($B$5:$B$91,"5月18日",$F$5:$F$91)</f>
        <v>0</v>
      </c>
      <c r="P21" s="28">
        <f>SUMIF($B$5:$B$91,"5月18日",$G$5:$G$91)</f>
        <v>0</v>
      </c>
      <c r="Q21" s="32">
        <f t="shared" si="0"/>
        <v>0</v>
      </c>
    </row>
    <row r="22" spans="1:17" ht="14.25">
      <c r="A22" s="15"/>
      <c r="B22" s="10"/>
      <c r="C22" s="22" t="s">
        <v>33</v>
      </c>
      <c r="D22" s="11"/>
      <c r="E22" s="12"/>
      <c r="F22" s="13"/>
      <c r="G22" s="13"/>
      <c r="H22" s="14">
        <f t="shared" si="1"/>
      </c>
      <c r="J22" s="27" t="str">
        <f>IF('１月'!J22="","",'１月'!J22)</f>
        <v>リース料</v>
      </c>
      <c r="K22" s="28">
        <f t="shared" si="2"/>
        <v>0</v>
      </c>
      <c r="M22" s="31">
        <v>40682</v>
      </c>
      <c r="N22" s="42" t="s">
        <v>70</v>
      </c>
      <c r="O22" s="28">
        <f>SUMIF($B$5:$B$91,"5月19日",$F$5:$F$91)</f>
        <v>0</v>
      </c>
      <c r="P22" s="28">
        <f>SUMIF($B$5:$B$91,"5月19日",$G$5:$G$91)</f>
        <v>0</v>
      </c>
      <c r="Q22" s="32">
        <f t="shared" si="0"/>
        <v>0</v>
      </c>
    </row>
    <row r="23" spans="1:17" ht="14.25">
      <c r="A23" s="15"/>
      <c r="B23" s="10"/>
      <c r="C23" s="22" t="s">
        <v>33</v>
      </c>
      <c r="D23" s="11"/>
      <c r="E23" s="12"/>
      <c r="F23" s="13"/>
      <c r="G23" s="13"/>
      <c r="H23" s="14">
        <f t="shared" si="1"/>
      </c>
      <c r="J23" s="27" t="str">
        <f>IF('１月'!J23="","",'１月'!J23)</f>
        <v>外注費</v>
      </c>
      <c r="K23" s="28">
        <f t="shared" si="2"/>
        <v>0</v>
      </c>
      <c r="M23" s="31">
        <v>40683</v>
      </c>
      <c r="N23" s="42" t="s">
        <v>71</v>
      </c>
      <c r="O23" s="28">
        <f>SUMIF($B$5:$B$91,"5月20日",$F$5:$F$91)</f>
        <v>0</v>
      </c>
      <c r="P23" s="28">
        <f>SUMIF($B$5:$B$91,"5月20日",$G$5:$G$91)</f>
        <v>0</v>
      </c>
      <c r="Q23" s="32">
        <f t="shared" si="0"/>
        <v>0</v>
      </c>
    </row>
    <row r="24" spans="1:17" ht="14.25">
      <c r="A24" s="15"/>
      <c r="B24" s="10"/>
      <c r="C24" s="22" t="s">
        <v>33</v>
      </c>
      <c r="D24" s="11"/>
      <c r="E24" s="12"/>
      <c r="F24" s="13"/>
      <c r="G24" s="13"/>
      <c r="H24" s="14">
        <f t="shared" si="1"/>
      </c>
      <c r="J24" s="27">
        <f>IF('１月'!J24="","",'１月'!J24)</f>
      </c>
      <c r="K24" s="28">
        <f t="shared" si="2"/>
        <v>0</v>
      </c>
      <c r="M24" s="31">
        <v>40684</v>
      </c>
      <c r="N24" s="42" t="s">
        <v>72</v>
      </c>
      <c r="O24" s="28">
        <f>SUMIF($B$5:$B$91,"5月21日",$F$5:$F$91)</f>
        <v>0</v>
      </c>
      <c r="P24" s="28">
        <f>SUMIF($B$5:$B$91,"5月21日",$G$5:$G$91)</f>
        <v>0</v>
      </c>
      <c r="Q24" s="32">
        <f t="shared" si="0"/>
        <v>0</v>
      </c>
    </row>
    <row r="25" spans="1:17" ht="14.25">
      <c r="A25" s="15"/>
      <c r="B25" s="10"/>
      <c r="C25" s="22" t="s">
        <v>33</v>
      </c>
      <c r="D25" s="11"/>
      <c r="E25" s="12"/>
      <c r="F25" s="13"/>
      <c r="G25" s="13"/>
      <c r="H25" s="14">
        <f t="shared" si="1"/>
      </c>
      <c r="J25" s="27" t="str">
        <f>IF('１月'!J25="","",'１月'!J25)</f>
        <v>　</v>
      </c>
      <c r="K25" s="28">
        <f t="shared" si="2"/>
        <v>0</v>
      </c>
      <c r="M25" s="31">
        <v>40685</v>
      </c>
      <c r="N25" s="42" t="s">
        <v>66</v>
      </c>
      <c r="O25" s="28">
        <f>SUMIF($B$5:$B$91,"5月22日",$F$5:$F$91)</f>
        <v>0</v>
      </c>
      <c r="P25" s="28">
        <f>SUMIF($B$5:$B$91,"5月22日",$G$5:$G$91)</f>
        <v>0</v>
      </c>
      <c r="Q25" s="32">
        <f t="shared" si="0"/>
        <v>0</v>
      </c>
    </row>
    <row r="26" spans="1:17" ht="14.25">
      <c r="A26" s="15"/>
      <c r="B26" s="10"/>
      <c r="C26" s="22" t="s">
        <v>33</v>
      </c>
      <c r="D26" s="11"/>
      <c r="E26" s="12"/>
      <c r="F26" s="13"/>
      <c r="G26" s="13"/>
      <c r="H26" s="14">
        <f t="shared" si="1"/>
      </c>
      <c r="J26" s="27">
        <f>IF('１月'!J26="","",'１月'!J26)</f>
      </c>
      <c r="K26" s="28">
        <f t="shared" si="2"/>
        <v>0</v>
      </c>
      <c r="M26" s="31">
        <v>40686</v>
      </c>
      <c r="N26" s="42" t="s">
        <v>67</v>
      </c>
      <c r="O26" s="28">
        <f>SUMIF($B$5:$B$91,"5月23日",$F$5:$F$91)</f>
        <v>0</v>
      </c>
      <c r="P26" s="28">
        <f>SUMIF($B$5:$B$91,"5月23日",$G$5:$G$91)</f>
        <v>0</v>
      </c>
      <c r="Q26" s="32">
        <f t="shared" si="0"/>
        <v>0</v>
      </c>
    </row>
    <row r="27" spans="1:17" ht="14.25">
      <c r="A27" s="15"/>
      <c r="B27" s="10"/>
      <c r="C27" s="22" t="s">
        <v>33</v>
      </c>
      <c r="D27" s="11"/>
      <c r="E27" s="12"/>
      <c r="F27" s="13"/>
      <c r="G27" s="13"/>
      <c r="H27" s="14">
        <f t="shared" si="1"/>
      </c>
      <c r="J27" s="27">
        <f>IF('１月'!J27="","",'１月'!J27)</f>
      </c>
      <c r="K27" s="28">
        <f t="shared" si="2"/>
        <v>0</v>
      </c>
      <c r="M27" s="31">
        <v>40687</v>
      </c>
      <c r="N27" s="42" t="s">
        <v>68</v>
      </c>
      <c r="O27" s="28">
        <f>SUMIF($B$5:$B$91,"5月24日",$F$5:$F$91)</f>
        <v>0</v>
      </c>
      <c r="P27" s="28">
        <f>SUMIF($B$5:$B$91,"5月24日",$G$5:$G$91)</f>
        <v>0</v>
      </c>
      <c r="Q27" s="32">
        <f t="shared" si="0"/>
        <v>0</v>
      </c>
    </row>
    <row r="28" spans="1:17" ht="14.25">
      <c r="A28" s="15"/>
      <c r="B28" s="10"/>
      <c r="C28" s="22" t="s">
        <v>33</v>
      </c>
      <c r="D28" s="11"/>
      <c r="E28" s="12"/>
      <c r="F28" s="13"/>
      <c r="G28" s="13"/>
      <c r="H28" s="14">
        <f t="shared" si="1"/>
      </c>
      <c r="J28" s="27" t="str">
        <f>IF('１月'!J28="","",'１月'!J28)</f>
        <v>雑費</v>
      </c>
      <c r="K28" s="28">
        <f t="shared" si="2"/>
        <v>0</v>
      </c>
      <c r="M28" s="31">
        <v>40688</v>
      </c>
      <c r="N28" s="42" t="s">
        <v>69</v>
      </c>
      <c r="O28" s="28">
        <f>SUMIF($B$5:$B$91,"5月25日",$F$5:$F$91)</f>
        <v>0</v>
      </c>
      <c r="P28" s="28">
        <f>SUMIF($B$5:$B$91,"5月25日",$G$5:$G$91)</f>
        <v>0</v>
      </c>
      <c r="Q28" s="32">
        <f t="shared" si="0"/>
        <v>0</v>
      </c>
    </row>
    <row r="29" spans="1:17" ht="14.25">
      <c r="A29" s="15"/>
      <c r="B29" s="10"/>
      <c r="C29" s="22" t="s">
        <v>33</v>
      </c>
      <c r="D29" s="11"/>
      <c r="E29" s="12"/>
      <c r="F29" s="13"/>
      <c r="G29" s="13"/>
      <c r="H29" s="14">
        <f t="shared" si="1"/>
      </c>
      <c r="J29" s="27" t="str">
        <f>IF('１月'!J29="","",'１月'!J29)</f>
        <v>経費合計</v>
      </c>
      <c r="K29" s="28">
        <f>SUM(K6:K28)</f>
        <v>0</v>
      </c>
      <c r="M29" s="31">
        <v>40689</v>
      </c>
      <c r="N29" s="42" t="s">
        <v>70</v>
      </c>
      <c r="O29" s="28">
        <f>SUMIF($B$5:$B$91,"5月26日",$F$5:$F$91)</f>
        <v>0</v>
      </c>
      <c r="P29" s="28">
        <f>SUMIF($B$5:$B$91,"5月26日",$G$5:$G$91)</f>
        <v>0</v>
      </c>
      <c r="Q29" s="32">
        <f t="shared" si="0"/>
        <v>0</v>
      </c>
    </row>
    <row r="30" spans="1:17" ht="14.25">
      <c r="A30" s="15"/>
      <c r="B30" s="10"/>
      <c r="C30" s="22" t="s">
        <v>33</v>
      </c>
      <c r="D30" s="11"/>
      <c r="E30" s="12"/>
      <c r="F30" s="13"/>
      <c r="G30" s="13"/>
      <c r="H30" s="14">
        <f t="shared" si="1"/>
      </c>
      <c r="J30" s="27" t="str">
        <f>IF('１月'!J30="","",'１月'!J30)</f>
        <v>利益</v>
      </c>
      <c r="K30" s="28">
        <f>K5-K29</f>
        <v>0</v>
      </c>
      <c r="M30" s="31">
        <v>40690</v>
      </c>
      <c r="N30" s="42" t="s">
        <v>71</v>
      </c>
      <c r="O30" s="28">
        <f>SUMIF($B$5:$B$91,"5月27日",$F$5:$F$91)</f>
        <v>0</v>
      </c>
      <c r="P30" s="28">
        <f>SUMIF($B$5:$B$91,"5月27日",$G$5:$G$91)</f>
        <v>0</v>
      </c>
      <c r="Q30" s="32">
        <f t="shared" si="0"/>
        <v>0</v>
      </c>
    </row>
    <row r="31" spans="1:17" ht="13.5">
      <c r="A31" s="15"/>
      <c r="B31" s="10"/>
      <c r="C31" s="22" t="s">
        <v>33</v>
      </c>
      <c r="D31" s="11"/>
      <c r="E31" s="12"/>
      <c r="F31" s="13"/>
      <c r="G31" s="13"/>
      <c r="H31" s="14">
        <f t="shared" si="1"/>
      </c>
      <c r="J31" s="27" t="str">
        <f>IF('１月'!J31="","",'１月'!J31)</f>
        <v>入金</v>
      </c>
      <c r="K31" s="28">
        <f>SUMIF($C$5:$C$91,J31,$F$5:$F$91)</f>
        <v>0</v>
      </c>
      <c r="M31" s="31">
        <v>40691</v>
      </c>
      <c r="N31" s="42" t="s">
        <v>72</v>
      </c>
      <c r="O31" s="28">
        <f>SUMIF($B$5:$B$91,"5月28日",$F$5:$F$91)</f>
        <v>0</v>
      </c>
      <c r="P31" s="28">
        <f>SUMIF($B$5:$B$91,"5月28日",$G$5:$G$91)</f>
        <v>0</v>
      </c>
      <c r="Q31" s="32">
        <f t="shared" si="0"/>
        <v>0</v>
      </c>
    </row>
    <row r="32" spans="1:17" ht="13.5">
      <c r="A32" s="15"/>
      <c r="B32" s="10"/>
      <c r="C32" s="22" t="s">
        <v>33</v>
      </c>
      <c r="D32" s="11"/>
      <c r="E32" s="12"/>
      <c r="F32" s="13"/>
      <c r="G32" s="13"/>
      <c r="H32" s="14">
        <f t="shared" si="1"/>
      </c>
      <c r="J32" s="27" t="str">
        <f>IF('１月'!J32="","",'１月'!J32)</f>
        <v>その他支払い</v>
      </c>
      <c r="K32" s="28">
        <f>SUMIF($C$5:$C$91,J32,$G$5:$G$91)</f>
        <v>0</v>
      </c>
      <c r="M32" s="31">
        <v>40692</v>
      </c>
      <c r="N32" s="42" t="s">
        <v>66</v>
      </c>
      <c r="O32" s="28">
        <f>SUMIF($B$5:$B$91,"5月29日",$F$5:$F$91)</f>
        <v>0</v>
      </c>
      <c r="P32" s="28">
        <f>SUMIF($B$5:$B$91,"5月29日",$G$5:$G$91)</f>
        <v>0</v>
      </c>
      <c r="Q32" s="32">
        <f t="shared" si="0"/>
        <v>0</v>
      </c>
    </row>
    <row r="33" spans="1:17" ht="13.5">
      <c r="A33" s="15"/>
      <c r="B33" s="10"/>
      <c r="C33" s="22" t="s">
        <v>33</v>
      </c>
      <c r="D33" s="11"/>
      <c r="E33" s="12"/>
      <c r="F33" s="13"/>
      <c r="G33" s="13"/>
      <c r="H33" s="14">
        <f t="shared" si="1"/>
      </c>
      <c r="K33" s="3"/>
      <c r="M33" s="31">
        <v>40693</v>
      </c>
      <c r="N33" s="42" t="s">
        <v>67</v>
      </c>
      <c r="O33" s="28">
        <f>SUMIF($B$5:$B$91,"5月30日",$F$5:$F$91)</f>
        <v>0</v>
      </c>
      <c r="P33" s="28">
        <f>SUMIF($B$5:$B$91,"5月30日",$G$5:$G$91)</f>
        <v>0</v>
      </c>
      <c r="Q33" s="32">
        <f t="shared" si="0"/>
        <v>0</v>
      </c>
    </row>
    <row r="34" spans="1:17" ht="13.5">
      <c r="A34" s="15"/>
      <c r="B34" s="10"/>
      <c r="C34" s="22" t="s">
        <v>33</v>
      </c>
      <c r="D34" s="11"/>
      <c r="E34" s="12"/>
      <c r="F34" s="13"/>
      <c r="G34" s="13"/>
      <c r="H34" s="14">
        <f t="shared" si="1"/>
      </c>
      <c r="K34" s="3"/>
      <c r="M34" s="31">
        <v>40694</v>
      </c>
      <c r="N34" s="42" t="s">
        <v>68</v>
      </c>
      <c r="O34" s="28">
        <f>SUMIF($B$5:$B$91,"5月31日",$F$5:$F$91)</f>
        <v>0</v>
      </c>
      <c r="P34" s="28">
        <f>SUMIF($B$5:$B$91,"5月31日",$G$5:$G$91)</f>
        <v>0</v>
      </c>
      <c r="Q34" s="32">
        <f t="shared" si="0"/>
        <v>0</v>
      </c>
    </row>
    <row r="35" spans="1:17" ht="13.5">
      <c r="A35" s="15"/>
      <c r="B35" s="10"/>
      <c r="C35" s="22" t="s">
        <v>33</v>
      </c>
      <c r="D35" s="11"/>
      <c r="E35" s="12"/>
      <c r="F35" s="13"/>
      <c r="G35" s="13"/>
      <c r="H35" s="14">
        <f t="shared" si="1"/>
      </c>
      <c r="K35" s="3"/>
      <c r="M35" s="27"/>
      <c r="N35" s="27"/>
      <c r="O35" s="32">
        <f>SUM(O4:O34)</f>
        <v>0</v>
      </c>
      <c r="P35" s="32">
        <f>SUM(P4:P34)</f>
        <v>0</v>
      </c>
      <c r="Q35" s="32">
        <f t="shared" si="0"/>
        <v>0</v>
      </c>
    </row>
    <row r="36" spans="1:8" ht="13.5">
      <c r="A36" s="15"/>
      <c r="B36" s="10"/>
      <c r="C36" s="22" t="s">
        <v>33</v>
      </c>
      <c r="D36" s="11"/>
      <c r="E36" s="12"/>
      <c r="F36" s="13"/>
      <c r="G36" s="13"/>
      <c r="H36" s="14">
        <f t="shared" si="1"/>
      </c>
    </row>
    <row r="37" spans="1:11" ht="13.5">
      <c r="A37" s="15"/>
      <c r="B37" s="10"/>
      <c r="C37" s="22" t="s">
        <v>33</v>
      </c>
      <c r="D37" s="11"/>
      <c r="E37" s="12"/>
      <c r="F37" s="13"/>
      <c r="G37" s="13"/>
      <c r="H37" s="14">
        <f t="shared" si="1"/>
      </c>
      <c r="J37" s="27">
        <f>IF('１月'!J37="","",'１月'!J37)</f>
      </c>
      <c r="K37" s="28">
        <f aca="true" t="shared" si="3" ref="K37:K46">SUMIF($D$5:$D$91,J37,$G$5:$G$91)</f>
        <v>0</v>
      </c>
    </row>
    <row r="38" spans="1:11" ht="13.5">
      <c r="A38" s="15"/>
      <c r="B38" s="10"/>
      <c r="C38" s="22" t="s">
        <v>33</v>
      </c>
      <c r="D38" s="11"/>
      <c r="E38" s="12"/>
      <c r="F38" s="13"/>
      <c r="G38" s="13"/>
      <c r="H38" s="14">
        <f t="shared" si="1"/>
      </c>
      <c r="J38" s="27">
        <f>IF('１月'!J38="","",'１月'!J38)</f>
      </c>
      <c r="K38" s="28">
        <f t="shared" si="3"/>
        <v>0</v>
      </c>
    </row>
    <row r="39" spans="1:11" ht="13.5">
      <c r="A39" s="15"/>
      <c r="B39" s="10"/>
      <c r="C39" s="22" t="s">
        <v>33</v>
      </c>
      <c r="D39" s="11"/>
      <c r="E39" s="12"/>
      <c r="F39" s="13"/>
      <c r="G39" s="13"/>
      <c r="H39" s="14">
        <f t="shared" si="1"/>
      </c>
      <c r="J39" s="27">
        <f>IF('１月'!J39="","",'１月'!J39)</f>
      </c>
      <c r="K39" s="28">
        <f t="shared" si="3"/>
        <v>0</v>
      </c>
    </row>
    <row r="40" spans="1:11" ht="13.5">
      <c r="A40" s="15"/>
      <c r="B40" s="10"/>
      <c r="C40" s="22" t="s">
        <v>33</v>
      </c>
      <c r="D40" s="11"/>
      <c r="E40" s="12"/>
      <c r="F40" s="13"/>
      <c r="G40" s="13"/>
      <c r="H40" s="14">
        <f t="shared" si="1"/>
      </c>
      <c r="J40" s="27">
        <f>IF('１月'!J40="","",'１月'!J40)</f>
      </c>
      <c r="K40" s="28">
        <f t="shared" si="3"/>
        <v>0</v>
      </c>
    </row>
    <row r="41" spans="1:11" ht="13.5">
      <c r="A41" s="15"/>
      <c r="B41" s="10"/>
      <c r="C41" s="22" t="s">
        <v>33</v>
      </c>
      <c r="D41" s="11"/>
      <c r="E41" s="12"/>
      <c r="F41" s="13"/>
      <c r="G41" s="13"/>
      <c r="H41" s="14">
        <f t="shared" si="1"/>
      </c>
      <c r="J41" s="27">
        <f>IF('１月'!J41="","",'１月'!J41)</f>
      </c>
      <c r="K41" s="28">
        <f t="shared" si="3"/>
        <v>0</v>
      </c>
    </row>
    <row r="42" spans="1:11" ht="13.5">
      <c r="A42" s="15"/>
      <c r="B42" s="10"/>
      <c r="C42" s="22" t="s">
        <v>33</v>
      </c>
      <c r="D42" s="11"/>
      <c r="E42" s="12"/>
      <c r="F42" s="13"/>
      <c r="G42" s="13"/>
      <c r="H42" s="14">
        <f t="shared" si="1"/>
      </c>
      <c r="J42" s="27">
        <f>IF('１月'!J42="","",'１月'!J42)</f>
      </c>
      <c r="K42" s="28">
        <f t="shared" si="3"/>
        <v>0</v>
      </c>
    </row>
    <row r="43" spans="1:11" ht="13.5">
      <c r="A43" s="15"/>
      <c r="B43" s="10"/>
      <c r="C43" s="22" t="s">
        <v>33</v>
      </c>
      <c r="D43" s="11"/>
      <c r="E43" s="12"/>
      <c r="F43" s="13"/>
      <c r="G43" s="13"/>
      <c r="H43" s="14">
        <f t="shared" si="1"/>
      </c>
      <c r="J43" s="27">
        <f>IF('１月'!J43="","",'１月'!J43)</f>
      </c>
      <c r="K43" s="28">
        <f t="shared" si="3"/>
        <v>0</v>
      </c>
    </row>
    <row r="44" spans="1:11" ht="13.5">
      <c r="A44" s="15"/>
      <c r="B44" s="10"/>
      <c r="C44" s="22" t="s">
        <v>33</v>
      </c>
      <c r="D44" s="11"/>
      <c r="E44" s="12"/>
      <c r="F44" s="13"/>
      <c r="G44" s="13"/>
      <c r="H44" s="14">
        <f t="shared" si="1"/>
      </c>
      <c r="J44" s="27">
        <f>IF('１月'!J44="","",'１月'!J44)</f>
      </c>
      <c r="K44" s="28">
        <f t="shared" si="3"/>
        <v>0</v>
      </c>
    </row>
    <row r="45" spans="1:11" ht="13.5">
      <c r="A45" s="15"/>
      <c r="B45" s="10"/>
      <c r="C45" s="22" t="s">
        <v>33</v>
      </c>
      <c r="D45" s="11"/>
      <c r="E45" s="12"/>
      <c r="F45" s="13"/>
      <c r="G45" s="13"/>
      <c r="H45" s="14">
        <f t="shared" si="1"/>
      </c>
      <c r="J45" s="27">
        <f>IF('１月'!J45="","",'１月'!J45)</f>
      </c>
      <c r="K45" s="28">
        <f t="shared" si="3"/>
        <v>0</v>
      </c>
    </row>
    <row r="46" spans="1:11" ht="13.5">
      <c r="A46" s="15"/>
      <c r="B46" s="10"/>
      <c r="C46" s="22" t="s">
        <v>33</v>
      </c>
      <c r="D46" s="11"/>
      <c r="E46" s="12"/>
      <c r="F46" s="13"/>
      <c r="G46" s="13"/>
      <c r="H46" s="14">
        <f t="shared" si="1"/>
      </c>
      <c r="J46" s="27">
        <f>IF('１月'!J46="","",'１月'!J46)</f>
      </c>
      <c r="K46" s="28">
        <f t="shared" si="3"/>
        <v>0</v>
      </c>
    </row>
    <row r="47" spans="1:8" ht="13.5">
      <c r="A47" s="15"/>
      <c r="B47" s="10"/>
      <c r="C47" s="22" t="s">
        <v>33</v>
      </c>
      <c r="D47" s="11"/>
      <c r="E47" s="12"/>
      <c r="F47" s="13"/>
      <c r="G47" s="13"/>
      <c r="H47" s="14">
        <f t="shared" si="1"/>
      </c>
    </row>
    <row r="48" spans="1:8" ht="13.5">
      <c r="A48" s="15"/>
      <c r="B48" s="10"/>
      <c r="C48" s="22" t="s">
        <v>33</v>
      </c>
      <c r="D48" s="11"/>
      <c r="E48" s="12"/>
      <c r="F48" s="13"/>
      <c r="G48" s="13"/>
      <c r="H48" s="14">
        <f t="shared" si="1"/>
      </c>
    </row>
    <row r="49" spans="1:8" ht="13.5">
      <c r="A49" s="15"/>
      <c r="B49" s="10"/>
      <c r="C49" s="22" t="s">
        <v>33</v>
      </c>
      <c r="D49" s="11"/>
      <c r="E49" s="12"/>
      <c r="F49" s="13"/>
      <c r="G49" s="13"/>
      <c r="H49" s="14">
        <f t="shared" si="1"/>
      </c>
    </row>
    <row r="50" spans="1:8" ht="13.5">
      <c r="A50" s="15"/>
      <c r="B50" s="10"/>
      <c r="C50" s="22" t="s">
        <v>33</v>
      </c>
      <c r="D50" s="11"/>
      <c r="E50" s="12"/>
      <c r="F50" s="13"/>
      <c r="G50" s="13"/>
      <c r="H50" s="14">
        <f t="shared" si="1"/>
      </c>
    </row>
    <row r="51" spans="1:8" ht="13.5">
      <c r="A51" s="15"/>
      <c r="B51" s="10"/>
      <c r="C51" s="22" t="s">
        <v>33</v>
      </c>
      <c r="D51" s="11"/>
      <c r="E51" s="12"/>
      <c r="F51" s="13"/>
      <c r="G51" s="13"/>
      <c r="H51" s="14">
        <f t="shared" si="1"/>
      </c>
    </row>
    <row r="52" spans="1:8" ht="13.5">
      <c r="A52" s="15"/>
      <c r="B52" s="10"/>
      <c r="C52" s="22" t="s">
        <v>33</v>
      </c>
      <c r="D52" s="11"/>
      <c r="E52" s="12"/>
      <c r="F52" s="13"/>
      <c r="G52" s="13"/>
      <c r="H52" s="14">
        <f t="shared" si="1"/>
      </c>
    </row>
    <row r="53" spans="1:8" ht="13.5">
      <c r="A53" s="15"/>
      <c r="B53" s="10"/>
      <c r="C53" s="22" t="s">
        <v>33</v>
      </c>
      <c r="D53" s="11"/>
      <c r="E53" s="12"/>
      <c r="F53" s="13"/>
      <c r="G53" s="13"/>
      <c r="H53" s="14">
        <f t="shared" si="1"/>
      </c>
    </row>
    <row r="54" spans="1:8" ht="13.5">
      <c r="A54" s="15"/>
      <c r="B54" s="10"/>
      <c r="C54" s="22" t="s">
        <v>33</v>
      </c>
      <c r="D54" s="11"/>
      <c r="E54" s="12"/>
      <c r="F54" s="13"/>
      <c r="G54" s="13"/>
      <c r="H54" s="14">
        <f t="shared" si="1"/>
      </c>
    </row>
    <row r="55" spans="1:8" ht="13.5">
      <c r="A55" s="15"/>
      <c r="B55" s="10"/>
      <c r="C55" s="22" t="s">
        <v>33</v>
      </c>
      <c r="D55" s="11"/>
      <c r="E55" s="12"/>
      <c r="F55" s="13"/>
      <c r="G55" s="13"/>
      <c r="H55" s="14">
        <f t="shared" si="1"/>
      </c>
    </row>
    <row r="56" spans="1:8" ht="13.5">
      <c r="A56" s="15"/>
      <c r="B56" s="10"/>
      <c r="C56" s="22" t="s">
        <v>33</v>
      </c>
      <c r="D56" s="11"/>
      <c r="E56" s="12"/>
      <c r="F56" s="13"/>
      <c r="G56" s="13"/>
      <c r="H56" s="14">
        <f t="shared" si="1"/>
      </c>
    </row>
    <row r="57" spans="1:8" ht="13.5">
      <c r="A57" s="15"/>
      <c r="B57" s="10"/>
      <c r="C57" s="22" t="s">
        <v>33</v>
      </c>
      <c r="D57" s="11"/>
      <c r="E57" s="12"/>
      <c r="F57" s="13"/>
      <c r="G57" s="13"/>
      <c r="H57" s="14">
        <f t="shared" si="1"/>
      </c>
    </row>
    <row r="58" spans="1:8" ht="13.5">
      <c r="A58" s="15"/>
      <c r="B58" s="10"/>
      <c r="C58" s="22" t="s">
        <v>33</v>
      </c>
      <c r="D58" s="11"/>
      <c r="E58" s="12"/>
      <c r="F58" s="13"/>
      <c r="G58" s="13"/>
      <c r="H58" s="14">
        <f t="shared" si="1"/>
      </c>
    </row>
    <row r="59" spans="1:8" ht="13.5">
      <c r="A59" s="15"/>
      <c r="B59" s="10"/>
      <c r="C59" s="22" t="s">
        <v>33</v>
      </c>
      <c r="D59" s="11"/>
      <c r="E59" s="12"/>
      <c r="F59" s="13"/>
      <c r="G59" s="13"/>
      <c r="H59" s="14">
        <f t="shared" si="1"/>
      </c>
    </row>
    <row r="60" spans="1:8" ht="13.5">
      <c r="A60" s="15"/>
      <c r="B60" s="10"/>
      <c r="C60" s="22" t="s">
        <v>33</v>
      </c>
      <c r="D60" s="11"/>
      <c r="E60" s="12"/>
      <c r="F60" s="13"/>
      <c r="G60" s="13"/>
      <c r="H60" s="14">
        <f t="shared" si="1"/>
      </c>
    </row>
    <row r="61" spans="1:8" ht="13.5">
      <c r="A61" s="15"/>
      <c r="B61" s="10"/>
      <c r="C61" s="22" t="s">
        <v>33</v>
      </c>
      <c r="D61" s="11"/>
      <c r="E61" s="12"/>
      <c r="F61" s="13"/>
      <c r="G61" s="13"/>
      <c r="H61" s="14">
        <f t="shared" si="1"/>
      </c>
    </row>
    <row r="62" spans="1:8" ht="13.5">
      <c r="A62" s="15"/>
      <c r="B62" s="10"/>
      <c r="C62" s="22" t="s">
        <v>33</v>
      </c>
      <c r="D62" s="11"/>
      <c r="E62" s="12"/>
      <c r="F62" s="13"/>
      <c r="G62" s="13"/>
      <c r="H62" s="14">
        <f t="shared" si="1"/>
      </c>
    </row>
    <row r="63" spans="1:8" ht="13.5">
      <c r="A63" s="15"/>
      <c r="B63" s="10"/>
      <c r="C63" s="22" t="s">
        <v>33</v>
      </c>
      <c r="D63" s="11"/>
      <c r="E63" s="12"/>
      <c r="F63" s="13"/>
      <c r="G63" s="13"/>
      <c r="H63" s="14">
        <f t="shared" si="1"/>
      </c>
    </row>
    <row r="64" spans="1:8" ht="13.5">
      <c r="A64" s="15"/>
      <c r="B64" s="10"/>
      <c r="C64" s="22" t="s">
        <v>33</v>
      </c>
      <c r="D64" s="11"/>
      <c r="E64" s="12"/>
      <c r="F64" s="13"/>
      <c r="G64" s="13"/>
      <c r="H64" s="14">
        <f t="shared" si="1"/>
      </c>
    </row>
    <row r="65" spans="1:8" ht="13.5">
      <c r="A65" s="15"/>
      <c r="B65" s="10"/>
      <c r="C65" s="22" t="s">
        <v>33</v>
      </c>
      <c r="D65" s="11"/>
      <c r="E65" s="12"/>
      <c r="F65" s="13"/>
      <c r="G65" s="13"/>
      <c r="H65" s="14">
        <f t="shared" si="1"/>
      </c>
    </row>
    <row r="66" spans="1:8" ht="13.5">
      <c r="A66" s="15"/>
      <c r="B66" s="10"/>
      <c r="C66" s="22" t="s">
        <v>33</v>
      </c>
      <c r="D66" s="11"/>
      <c r="E66" s="12"/>
      <c r="F66" s="13"/>
      <c r="G66" s="13"/>
      <c r="H66" s="14">
        <f t="shared" si="1"/>
      </c>
    </row>
    <row r="67" spans="1:8" ht="13.5">
      <c r="A67" s="15"/>
      <c r="B67" s="10"/>
      <c r="C67" s="22" t="s">
        <v>33</v>
      </c>
      <c r="D67" s="11"/>
      <c r="E67" s="12"/>
      <c r="F67" s="13"/>
      <c r="G67" s="13"/>
      <c r="H67" s="14">
        <f t="shared" si="1"/>
      </c>
    </row>
    <row r="68" spans="1:8" ht="13.5">
      <c r="A68" s="15"/>
      <c r="B68" s="10"/>
      <c r="C68" s="22" t="s">
        <v>33</v>
      </c>
      <c r="D68" s="11"/>
      <c r="E68" s="12"/>
      <c r="F68" s="13"/>
      <c r="G68" s="13"/>
      <c r="H68" s="14">
        <f t="shared" si="1"/>
      </c>
    </row>
    <row r="69" spans="1:8" ht="13.5">
      <c r="A69" s="15"/>
      <c r="B69" s="10"/>
      <c r="C69" s="22" t="s">
        <v>33</v>
      </c>
      <c r="D69" s="11"/>
      <c r="E69" s="12"/>
      <c r="F69" s="13"/>
      <c r="G69" s="13"/>
      <c r="H69" s="14">
        <f t="shared" si="1"/>
      </c>
    </row>
    <row r="70" spans="1:8" ht="13.5">
      <c r="A70" s="15"/>
      <c r="B70" s="10"/>
      <c r="C70" s="22" t="s">
        <v>33</v>
      </c>
      <c r="D70" s="11"/>
      <c r="E70" s="12"/>
      <c r="F70" s="13"/>
      <c r="G70" s="13"/>
      <c r="H70" s="14">
        <f aca="true" t="shared" si="4" ref="H70:H91">IF(OR(H69="",AND(F70="",G70="")),"",H69+F70-G70)</f>
      </c>
    </row>
    <row r="71" spans="1:8" ht="13.5">
      <c r="A71" s="15"/>
      <c r="B71" s="10"/>
      <c r="C71" s="22" t="s">
        <v>33</v>
      </c>
      <c r="D71" s="11"/>
      <c r="E71" s="12"/>
      <c r="F71" s="13"/>
      <c r="G71" s="13"/>
      <c r="H71" s="14">
        <f t="shared" si="4"/>
      </c>
    </row>
    <row r="72" spans="1:8" ht="13.5">
      <c r="A72" s="15"/>
      <c r="B72" s="10"/>
      <c r="C72" s="22" t="s">
        <v>33</v>
      </c>
      <c r="D72" s="11"/>
      <c r="E72" s="12"/>
      <c r="F72" s="13"/>
      <c r="G72" s="13"/>
      <c r="H72" s="14">
        <f t="shared" si="4"/>
      </c>
    </row>
    <row r="73" spans="1:8" ht="13.5">
      <c r="A73" s="15"/>
      <c r="B73" s="10"/>
      <c r="C73" s="22" t="s">
        <v>33</v>
      </c>
      <c r="D73" s="11"/>
      <c r="E73" s="12"/>
      <c r="F73" s="13"/>
      <c r="G73" s="13"/>
      <c r="H73" s="14">
        <f t="shared" si="4"/>
      </c>
    </row>
    <row r="74" spans="1:8" ht="13.5">
      <c r="A74" s="15"/>
      <c r="B74" s="10"/>
      <c r="C74" s="22" t="s">
        <v>33</v>
      </c>
      <c r="D74" s="11"/>
      <c r="E74" s="12"/>
      <c r="F74" s="13"/>
      <c r="G74" s="13"/>
      <c r="H74" s="14">
        <f t="shared" si="4"/>
      </c>
    </row>
    <row r="75" spans="1:8" ht="13.5">
      <c r="A75" s="15"/>
      <c r="B75" s="10"/>
      <c r="C75" s="22" t="s">
        <v>33</v>
      </c>
      <c r="D75" s="11"/>
      <c r="E75" s="12"/>
      <c r="F75" s="13"/>
      <c r="G75" s="13"/>
      <c r="H75" s="14">
        <f t="shared" si="4"/>
      </c>
    </row>
    <row r="76" spans="1:8" ht="13.5">
      <c r="A76" s="15"/>
      <c r="B76" s="10"/>
      <c r="C76" s="22" t="s">
        <v>33</v>
      </c>
      <c r="D76" s="11"/>
      <c r="E76" s="12"/>
      <c r="F76" s="13"/>
      <c r="G76" s="13"/>
      <c r="H76" s="14">
        <f t="shared" si="4"/>
      </c>
    </row>
    <row r="77" spans="1:8" ht="13.5">
      <c r="A77" s="15"/>
      <c r="B77" s="10"/>
      <c r="C77" s="22" t="s">
        <v>33</v>
      </c>
      <c r="D77" s="11"/>
      <c r="E77" s="12"/>
      <c r="F77" s="13"/>
      <c r="G77" s="13"/>
      <c r="H77" s="14">
        <f t="shared" si="4"/>
      </c>
    </row>
    <row r="78" spans="1:8" ht="13.5">
      <c r="A78" s="15"/>
      <c r="B78" s="10"/>
      <c r="C78" s="22" t="s">
        <v>33</v>
      </c>
      <c r="D78" s="11"/>
      <c r="E78" s="12"/>
      <c r="F78" s="13"/>
      <c r="G78" s="13"/>
      <c r="H78" s="14">
        <f t="shared" si="4"/>
      </c>
    </row>
    <row r="79" spans="1:8" ht="13.5">
      <c r="A79" s="15"/>
      <c r="B79" s="10"/>
      <c r="C79" s="22" t="s">
        <v>33</v>
      </c>
      <c r="D79" s="11"/>
      <c r="E79" s="12"/>
      <c r="F79" s="13"/>
      <c r="G79" s="13"/>
      <c r="H79" s="14">
        <f t="shared" si="4"/>
      </c>
    </row>
    <row r="80" spans="1:8" ht="13.5">
      <c r="A80" s="15"/>
      <c r="B80" s="10"/>
      <c r="C80" s="22" t="s">
        <v>33</v>
      </c>
      <c r="D80" s="11"/>
      <c r="E80" s="12"/>
      <c r="F80" s="13"/>
      <c r="G80" s="13"/>
      <c r="H80" s="14">
        <f t="shared" si="4"/>
      </c>
    </row>
    <row r="81" spans="1:8" ht="13.5">
      <c r="A81" s="15"/>
      <c r="B81" s="10"/>
      <c r="C81" s="22" t="s">
        <v>33</v>
      </c>
      <c r="D81" s="11"/>
      <c r="E81" s="12"/>
      <c r="F81" s="13"/>
      <c r="G81" s="13"/>
      <c r="H81" s="14">
        <f t="shared" si="4"/>
      </c>
    </row>
    <row r="82" spans="1:8" ht="13.5">
      <c r="A82" s="15"/>
      <c r="B82" s="10"/>
      <c r="C82" s="22" t="s">
        <v>33</v>
      </c>
      <c r="D82" s="11"/>
      <c r="E82" s="12"/>
      <c r="F82" s="13"/>
      <c r="G82" s="13"/>
      <c r="H82" s="14">
        <f t="shared" si="4"/>
      </c>
    </row>
    <row r="83" spans="1:8" ht="13.5">
      <c r="A83" s="15"/>
      <c r="B83" s="10"/>
      <c r="C83" s="22" t="s">
        <v>33</v>
      </c>
      <c r="D83" s="11"/>
      <c r="E83" s="12"/>
      <c r="F83" s="13"/>
      <c r="G83" s="13"/>
      <c r="H83" s="14">
        <f t="shared" si="4"/>
      </c>
    </row>
    <row r="84" spans="1:8" ht="13.5">
      <c r="A84" s="15"/>
      <c r="B84" s="10"/>
      <c r="C84" s="22" t="s">
        <v>33</v>
      </c>
      <c r="D84" s="11"/>
      <c r="E84" s="12"/>
      <c r="F84" s="13"/>
      <c r="G84" s="13"/>
      <c r="H84" s="14">
        <f t="shared" si="4"/>
      </c>
    </row>
    <row r="85" spans="1:8" ht="13.5">
      <c r="A85" s="15"/>
      <c r="B85" s="10"/>
      <c r="C85" s="22" t="s">
        <v>33</v>
      </c>
      <c r="D85" s="11"/>
      <c r="E85" s="12"/>
      <c r="F85" s="13"/>
      <c r="G85" s="13"/>
      <c r="H85" s="14">
        <f t="shared" si="4"/>
      </c>
    </row>
    <row r="86" spans="1:8" ht="13.5">
      <c r="A86" s="15"/>
      <c r="B86" s="10"/>
      <c r="C86" s="22" t="s">
        <v>33</v>
      </c>
      <c r="D86" s="11"/>
      <c r="E86" s="12"/>
      <c r="F86" s="13"/>
      <c r="G86" s="13"/>
      <c r="H86" s="14">
        <f t="shared" si="4"/>
      </c>
    </row>
    <row r="87" spans="1:8" ht="13.5">
      <c r="A87" s="15"/>
      <c r="B87" s="10"/>
      <c r="C87" s="22" t="s">
        <v>33</v>
      </c>
      <c r="D87" s="11"/>
      <c r="E87" s="12"/>
      <c r="F87" s="13"/>
      <c r="G87" s="13"/>
      <c r="H87" s="14">
        <f t="shared" si="4"/>
      </c>
    </row>
    <row r="88" spans="1:8" ht="13.5">
      <c r="A88" s="15"/>
      <c r="B88" s="10"/>
      <c r="C88" s="22" t="s">
        <v>33</v>
      </c>
      <c r="D88" s="11"/>
      <c r="E88" s="12"/>
      <c r="F88" s="13"/>
      <c r="G88" s="13"/>
      <c r="H88" s="14">
        <f t="shared" si="4"/>
      </c>
    </row>
    <row r="89" spans="1:8" ht="13.5">
      <c r="A89" s="15"/>
      <c r="B89" s="10"/>
      <c r="C89" s="22" t="s">
        <v>33</v>
      </c>
      <c r="D89" s="11"/>
      <c r="E89" s="12"/>
      <c r="F89" s="13"/>
      <c r="G89" s="13"/>
      <c r="H89" s="14">
        <f t="shared" si="4"/>
      </c>
    </row>
    <row r="90" spans="1:8" ht="13.5">
      <c r="A90" s="15"/>
      <c r="B90" s="10"/>
      <c r="C90" s="22" t="s">
        <v>33</v>
      </c>
      <c r="D90" s="11"/>
      <c r="E90" s="12"/>
      <c r="F90" s="13"/>
      <c r="G90" s="13"/>
      <c r="H90" s="14">
        <f t="shared" si="4"/>
      </c>
    </row>
    <row r="91" spans="1:8" ht="14.25" thickBot="1">
      <c r="A91" s="15"/>
      <c r="B91" s="10"/>
      <c r="C91" s="22" t="s">
        <v>33</v>
      </c>
      <c r="D91" s="11"/>
      <c r="E91" s="12"/>
      <c r="F91" s="13"/>
      <c r="G91" s="13"/>
      <c r="H91" s="14">
        <f t="shared" si="4"/>
      </c>
    </row>
    <row r="92" spans="1:8" ht="14.25" thickBot="1">
      <c r="A92" s="15"/>
      <c r="B92" s="17"/>
      <c r="C92" s="18"/>
      <c r="D92" s="18"/>
      <c r="E92" s="19" t="s">
        <v>8</v>
      </c>
      <c r="F92" s="20"/>
      <c r="G92" s="20"/>
      <c r="H92" s="21">
        <f>IF(AND(SUM(F5:F91)=0,SUM(G5:G91)=0),"",SUM(F5:F91)-SUM(G5:G91)+H4)</f>
      </c>
    </row>
  </sheetData>
  <sheetProtection/>
  <mergeCells count="1">
    <mergeCell ref="B1:C1"/>
  </mergeCells>
  <dataValidations count="2">
    <dataValidation type="list" allowBlank="1" showInputMessage="1" showErrorMessage="1" sqref="C5:C91">
      <formula1>$J$3:$J$32</formula1>
    </dataValidation>
    <dataValidation type="list" allowBlank="1" showInputMessage="1" showErrorMessage="1" sqref="D5:D91">
      <formula1>$J$37:$J$46</formula1>
    </dataValidation>
  </dataValidations>
  <printOptions/>
  <pageMargins left="0.75" right="0.75" top="1" bottom="1" header="0.512" footer="0.512"/>
  <pageSetup orientation="portrait" paperSize="9"/>
  <ignoredErrors>
    <ignoredError sqref="K5" formula="1"/>
  </ignoredErrors>
  <legacyDrawing r:id="rId2"/>
</worksheet>
</file>

<file path=xl/worksheets/sheet6.xml><?xml version="1.0" encoding="utf-8"?>
<worksheet xmlns="http://schemas.openxmlformats.org/spreadsheetml/2006/main" xmlns:r="http://schemas.openxmlformats.org/officeDocument/2006/relationships">
  <dimension ref="A1:Q92"/>
  <sheetViews>
    <sheetView zoomScalePageLayoutView="0" workbookViewId="0" topLeftCell="A1">
      <selection activeCell="J24" sqref="J24"/>
    </sheetView>
  </sheetViews>
  <sheetFormatPr defaultColWidth="9.00390625" defaultRowHeight="13.5"/>
  <cols>
    <col min="3" max="3" width="10.875" style="0" customWidth="1"/>
    <col min="4" max="4" width="18.125" style="0" customWidth="1"/>
    <col min="5" max="5" width="22.25390625" style="0" customWidth="1"/>
    <col min="6" max="7" width="11.875" style="0" customWidth="1"/>
    <col min="8" max="8" width="13.125" style="0" customWidth="1"/>
    <col min="10" max="10" width="12.75390625" style="0" bestFit="1" customWidth="1"/>
    <col min="14" max="14" width="5.25390625" style="0" bestFit="1" customWidth="1"/>
  </cols>
  <sheetData>
    <row r="1" spans="1:11" ht="23.25">
      <c r="A1" s="1"/>
      <c r="B1" s="38" t="s">
        <v>9</v>
      </c>
      <c r="C1" s="39"/>
      <c r="D1" s="2"/>
      <c r="E1" s="2"/>
      <c r="F1" s="2"/>
      <c r="G1" s="2"/>
      <c r="H1" s="2"/>
      <c r="K1" s="3"/>
    </row>
    <row r="2" spans="1:11" ht="15" thickBot="1">
      <c r="A2" s="1"/>
      <c r="B2" s="1"/>
      <c r="C2" s="1"/>
      <c r="D2" s="1"/>
      <c r="E2" s="1"/>
      <c r="F2" s="1"/>
      <c r="G2" s="1"/>
      <c r="H2" s="4" t="s">
        <v>47</v>
      </c>
      <c r="K2" s="3"/>
    </row>
    <row r="3" spans="1:17" ht="15" thickBot="1">
      <c r="A3" s="1"/>
      <c r="B3" s="5" t="s">
        <v>1</v>
      </c>
      <c r="C3" s="6" t="s">
        <v>2</v>
      </c>
      <c r="D3" s="7" t="s">
        <v>3</v>
      </c>
      <c r="E3" s="8" t="s">
        <v>4</v>
      </c>
      <c r="F3" s="6" t="s">
        <v>5</v>
      </c>
      <c r="G3" s="6" t="s">
        <v>6</v>
      </c>
      <c r="H3" s="9" t="s">
        <v>7</v>
      </c>
      <c r="J3" s="27" t="str">
        <f>IF('１月'!J3="","",'１月'!J3)</f>
        <v>売上</v>
      </c>
      <c r="K3" s="28">
        <f>SUMIF($C$5:$C$91,J3,$F$5:$F$91)</f>
        <v>0</v>
      </c>
      <c r="M3" s="29" t="s">
        <v>36</v>
      </c>
      <c r="N3" s="29" t="s">
        <v>37</v>
      </c>
      <c r="O3" s="30" t="s">
        <v>38</v>
      </c>
      <c r="P3" s="30" t="s">
        <v>39</v>
      </c>
      <c r="Q3" s="27"/>
    </row>
    <row r="4" spans="1:17" ht="14.25">
      <c r="A4" s="1"/>
      <c r="B4" s="10"/>
      <c r="C4" s="22" t="s">
        <v>33</v>
      </c>
      <c r="D4" s="11"/>
      <c r="E4" s="12" t="s">
        <v>35</v>
      </c>
      <c r="F4" s="13"/>
      <c r="G4" s="13"/>
      <c r="H4" s="14">
        <f>'５月'!H92</f>
      </c>
      <c r="J4" s="27" t="str">
        <f>IF('１月'!J4="","",'１月'!J4)</f>
        <v>仕入</v>
      </c>
      <c r="K4" s="28">
        <f>SUMIF($C$5:$C$91,J4,$G$5:$G$91)</f>
        <v>0</v>
      </c>
      <c r="M4" s="31">
        <v>40695</v>
      </c>
      <c r="N4" s="42" t="s">
        <v>85</v>
      </c>
      <c r="O4" s="28">
        <f>SUMIF($B$5:$B$91,"6月1日",$F$5:$F$91)</f>
        <v>0</v>
      </c>
      <c r="P4" s="28">
        <f>SUMIF($B$5:$B$91,"6月1日",$G$5:$G$91)</f>
        <v>0</v>
      </c>
      <c r="Q4" s="32">
        <f>O4-P4</f>
        <v>0</v>
      </c>
    </row>
    <row r="5" spans="1:17" ht="14.25">
      <c r="A5" s="1"/>
      <c r="B5" s="10"/>
      <c r="C5" s="22" t="s">
        <v>33</v>
      </c>
      <c r="D5" s="11"/>
      <c r="E5" s="12"/>
      <c r="F5" s="13"/>
      <c r="G5" s="13"/>
      <c r="H5" s="14">
        <f>IF(OR(H4="",AND(F5="",G5="")),"",H4+F5-G5)</f>
      </c>
      <c r="J5" s="27" t="str">
        <f>IF('１月'!J5="","",'１月'!J5)</f>
        <v>製造原価</v>
      </c>
      <c r="K5" s="28">
        <f>K3-K4</f>
        <v>0</v>
      </c>
      <c r="M5" s="31">
        <v>40696</v>
      </c>
      <c r="N5" s="42" t="s">
        <v>70</v>
      </c>
      <c r="O5" s="28">
        <f>SUMIF($B$5:$B$91,"6月2日",$F$5:$F$91)</f>
        <v>0</v>
      </c>
      <c r="P5" s="28">
        <f>SUMIF($B$5:$B$91,"6月2日",$G$5:$G$91)</f>
        <v>0</v>
      </c>
      <c r="Q5" s="32">
        <f aca="true" t="shared" si="0" ref="Q5:Q34">O5-P5</f>
        <v>0</v>
      </c>
    </row>
    <row r="6" spans="1:17" ht="14.25">
      <c r="A6" s="1"/>
      <c r="B6" s="10"/>
      <c r="C6" s="22" t="s">
        <v>33</v>
      </c>
      <c r="D6" s="11"/>
      <c r="E6" s="12"/>
      <c r="F6" s="13"/>
      <c r="G6" s="13"/>
      <c r="H6" s="14">
        <f aca="true" t="shared" si="1" ref="H6:H69">IF(OR(H5="",AND(F6="",G6="")),"",H5+F6-G6)</f>
      </c>
      <c r="J6" s="27" t="str">
        <f>IF('１月'!J6="","",'１月'!J6)</f>
        <v>租税公課</v>
      </c>
      <c r="K6" s="28">
        <f>SUMIF($C$5:$C$91,J6,$G$5:$G$91)</f>
        <v>0</v>
      </c>
      <c r="M6" s="31">
        <v>40697</v>
      </c>
      <c r="N6" s="42" t="s">
        <v>71</v>
      </c>
      <c r="O6" s="28">
        <f>SUMIF($B$5:$B$91,"6月3日",$F$5:$F$91)</f>
        <v>0</v>
      </c>
      <c r="P6" s="28">
        <f>SUMIF($B$5:$B$91,"6月3日",$G$5:$G$91)</f>
        <v>0</v>
      </c>
      <c r="Q6" s="32">
        <f t="shared" si="0"/>
        <v>0</v>
      </c>
    </row>
    <row r="7" spans="1:17" ht="14.25">
      <c r="A7" s="1"/>
      <c r="B7" s="10"/>
      <c r="C7" s="22" t="s">
        <v>33</v>
      </c>
      <c r="D7" s="11"/>
      <c r="E7" s="12"/>
      <c r="F7" s="13"/>
      <c r="G7" s="13"/>
      <c r="H7" s="14">
        <f t="shared" si="1"/>
      </c>
      <c r="J7" s="27" t="str">
        <f>IF('１月'!J7="","",'１月'!J7)</f>
        <v>荷造運賃</v>
      </c>
      <c r="K7" s="28">
        <f aca="true" t="shared" si="2" ref="K7:K28">SUMIF($C$5:$C$91,J7,$G$5:$G$91)</f>
        <v>0</v>
      </c>
      <c r="M7" s="31">
        <v>40698</v>
      </c>
      <c r="N7" s="42" t="s">
        <v>72</v>
      </c>
      <c r="O7" s="28">
        <f>SUMIF($B$5:$B$91,"6月4日",$F$5:$F$91)</f>
        <v>0</v>
      </c>
      <c r="P7" s="28">
        <f>SUMIF($B$5:$B$91,"6月4日",$G$5:$G$91)</f>
        <v>0</v>
      </c>
      <c r="Q7" s="32">
        <f t="shared" si="0"/>
        <v>0</v>
      </c>
    </row>
    <row r="8" spans="1:17" ht="14.25">
      <c r="A8" s="1"/>
      <c r="B8" s="10"/>
      <c r="C8" s="22" t="s">
        <v>33</v>
      </c>
      <c r="D8" s="11"/>
      <c r="E8" s="12"/>
      <c r="F8" s="13"/>
      <c r="G8" s="13"/>
      <c r="H8" s="14">
        <f t="shared" si="1"/>
      </c>
      <c r="J8" s="27" t="str">
        <f>IF('１月'!J8="","",'１月'!J8)</f>
        <v>水道光熱費</v>
      </c>
      <c r="K8" s="28">
        <f t="shared" si="2"/>
        <v>0</v>
      </c>
      <c r="M8" s="31">
        <v>40699</v>
      </c>
      <c r="N8" s="42" t="s">
        <v>66</v>
      </c>
      <c r="O8" s="28">
        <f>SUMIF($B$5:$B$91,"6月5日",$F$5:$F$91)</f>
        <v>0</v>
      </c>
      <c r="P8" s="28">
        <f>SUMIF($B$5:$B$91,"6月5日",$G$5:$G$91)</f>
        <v>0</v>
      </c>
      <c r="Q8" s="32">
        <f t="shared" si="0"/>
        <v>0</v>
      </c>
    </row>
    <row r="9" spans="1:17" ht="14.25">
      <c r="A9" s="1"/>
      <c r="B9" s="10"/>
      <c r="C9" s="22" t="s">
        <v>33</v>
      </c>
      <c r="D9" s="11"/>
      <c r="E9" s="12"/>
      <c r="F9" s="13"/>
      <c r="G9" s="13"/>
      <c r="H9" s="14">
        <f t="shared" si="1"/>
      </c>
      <c r="J9" s="27" t="str">
        <f>IF('１月'!J9="","",'１月'!J9)</f>
        <v>旅費交通費</v>
      </c>
      <c r="K9" s="28">
        <f t="shared" si="2"/>
        <v>0</v>
      </c>
      <c r="M9" s="31">
        <v>40700</v>
      </c>
      <c r="N9" s="42" t="s">
        <v>67</v>
      </c>
      <c r="O9" s="28">
        <f>SUMIF($B$5:$B$91,"6月6日",$F$5:$F$91)</f>
        <v>0</v>
      </c>
      <c r="P9" s="28">
        <f>SUMIF($B$5:$B$91,"6月6日",$G$5:$G$91)</f>
        <v>0</v>
      </c>
      <c r="Q9" s="32">
        <f t="shared" si="0"/>
        <v>0</v>
      </c>
    </row>
    <row r="10" spans="1:17" ht="14.25">
      <c r="A10" s="15"/>
      <c r="B10" s="10"/>
      <c r="C10" s="22" t="s">
        <v>33</v>
      </c>
      <c r="D10" s="11"/>
      <c r="E10" s="12"/>
      <c r="F10" s="13"/>
      <c r="G10" s="13"/>
      <c r="H10" s="14">
        <f t="shared" si="1"/>
      </c>
      <c r="J10" s="27" t="str">
        <f>IF('１月'!J10="","",'１月'!J10)</f>
        <v>通信費</v>
      </c>
      <c r="K10" s="28">
        <f t="shared" si="2"/>
        <v>0</v>
      </c>
      <c r="M10" s="31">
        <v>40701</v>
      </c>
      <c r="N10" s="42" t="s">
        <v>68</v>
      </c>
      <c r="O10" s="28">
        <f>SUMIF($B$5:$B$91,"6月7日",$F$5:$F$91)</f>
        <v>0</v>
      </c>
      <c r="P10" s="28">
        <f>SUMIF($B$5:$B$91,"6月7日",$G$5:$G$91)</f>
        <v>0</v>
      </c>
      <c r="Q10" s="32">
        <f t="shared" si="0"/>
        <v>0</v>
      </c>
    </row>
    <row r="11" spans="1:17" ht="14.25">
      <c r="A11" s="15"/>
      <c r="B11" s="10"/>
      <c r="C11" s="22" t="s">
        <v>33</v>
      </c>
      <c r="D11" s="11"/>
      <c r="E11" s="12"/>
      <c r="F11" s="13"/>
      <c r="G11" s="13"/>
      <c r="H11" s="14">
        <f t="shared" si="1"/>
      </c>
      <c r="J11" s="27" t="str">
        <f>IF('１月'!J11="","",'１月'!J11)</f>
        <v>広告宣伝費</v>
      </c>
      <c r="K11" s="28">
        <f t="shared" si="2"/>
        <v>0</v>
      </c>
      <c r="M11" s="31">
        <v>40702</v>
      </c>
      <c r="N11" s="42" t="s">
        <v>69</v>
      </c>
      <c r="O11" s="28">
        <f>SUMIF($B$5:$B$91,"6月8日",$F$5:$F$91)</f>
        <v>0</v>
      </c>
      <c r="P11" s="28">
        <f>SUMIF($B$5:$B$91,"6月8日",$G$5:$G$91)</f>
        <v>0</v>
      </c>
      <c r="Q11" s="32">
        <f t="shared" si="0"/>
        <v>0</v>
      </c>
    </row>
    <row r="12" spans="1:17" ht="14.25">
      <c r="A12" s="15"/>
      <c r="B12" s="10"/>
      <c r="C12" s="22" t="s">
        <v>33</v>
      </c>
      <c r="D12" s="11"/>
      <c r="E12" s="12"/>
      <c r="F12" s="13"/>
      <c r="G12" s="13"/>
      <c r="H12" s="14">
        <f t="shared" si="1"/>
      </c>
      <c r="J12" s="27" t="str">
        <f>IF('１月'!J12="","",'１月'!J12)</f>
        <v>接待交際費</v>
      </c>
      <c r="K12" s="28">
        <f t="shared" si="2"/>
        <v>0</v>
      </c>
      <c r="M12" s="31">
        <v>40703</v>
      </c>
      <c r="N12" s="42" t="s">
        <v>70</v>
      </c>
      <c r="O12" s="28">
        <f>SUMIF($B$5:$B$91,"6月9日",$F$5:$F$91)</f>
        <v>0</v>
      </c>
      <c r="P12" s="28">
        <f>SUMIF($B$5:$B$91,"6月9日",$G$5:$G$91)</f>
        <v>0</v>
      </c>
      <c r="Q12" s="32">
        <f t="shared" si="0"/>
        <v>0</v>
      </c>
    </row>
    <row r="13" spans="1:17" ht="14.25">
      <c r="A13" s="15"/>
      <c r="B13" s="10"/>
      <c r="C13" s="22" t="s">
        <v>33</v>
      </c>
      <c r="D13" s="11"/>
      <c r="E13" s="12"/>
      <c r="F13" s="13"/>
      <c r="G13" s="13"/>
      <c r="H13" s="14">
        <f t="shared" si="1"/>
      </c>
      <c r="J13" s="27" t="str">
        <f>IF('１月'!J13="","",'１月'!J13)</f>
        <v>損害保険料</v>
      </c>
      <c r="K13" s="28">
        <f t="shared" si="2"/>
        <v>0</v>
      </c>
      <c r="M13" s="31">
        <v>40704</v>
      </c>
      <c r="N13" s="42" t="s">
        <v>71</v>
      </c>
      <c r="O13" s="28">
        <f>SUMIF($B$5:$B$91,"6月10日",$F$5:$F$91)</f>
        <v>0</v>
      </c>
      <c r="P13" s="28">
        <f>SUMIF($B$5:$B$91,"6月10日",$G$5:$G$91)</f>
        <v>0</v>
      </c>
      <c r="Q13" s="32">
        <f t="shared" si="0"/>
        <v>0</v>
      </c>
    </row>
    <row r="14" spans="1:17" ht="14.25">
      <c r="A14" s="15"/>
      <c r="B14" s="10"/>
      <c r="C14" s="22" t="s">
        <v>33</v>
      </c>
      <c r="D14" s="11"/>
      <c r="E14" s="12"/>
      <c r="F14" s="13"/>
      <c r="G14" s="13"/>
      <c r="H14" s="14">
        <f t="shared" si="1"/>
      </c>
      <c r="J14" s="27" t="str">
        <f>IF('１月'!J14="","",'１月'!J14)</f>
        <v>修繕費</v>
      </c>
      <c r="K14" s="28">
        <f t="shared" si="2"/>
        <v>0</v>
      </c>
      <c r="M14" s="31">
        <v>40705</v>
      </c>
      <c r="N14" s="42" t="s">
        <v>72</v>
      </c>
      <c r="O14" s="28">
        <f>SUMIF($B$5:$B$91,"6月11日",$F$5:$F$91)</f>
        <v>0</v>
      </c>
      <c r="P14" s="28">
        <f>SUMIF($B$5:$B$91,"6月11日",$G$5:$G$91)</f>
        <v>0</v>
      </c>
      <c r="Q14" s="32">
        <f t="shared" si="0"/>
        <v>0</v>
      </c>
    </row>
    <row r="15" spans="1:17" ht="14.25">
      <c r="A15" s="15"/>
      <c r="B15" s="10"/>
      <c r="C15" s="22" t="s">
        <v>33</v>
      </c>
      <c r="D15" s="11"/>
      <c r="E15" s="16"/>
      <c r="F15" s="13"/>
      <c r="G15" s="13"/>
      <c r="H15" s="14">
        <f t="shared" si="1"/>
      </c>
      <c r="J15" s="27" t="str">
        <f>IF('１月'!J15="","",'１月'!J15)</f>
        <v>消耗品費</v>
      </c>
      <c r="K15" s="28">
        <f t="shared" si="2"/>
        <v>0</v>
      </c>
      <c r="M15" s="31">
        <v>40706</v>
      </c>
      <c r="N15" s="42" t="s">
        <v>66</v>
      </c>
      <c r="O15" s="28">
        <f>SUMIF($B$5:$B$91,"6月12日",$F$5:$F$91)</f>
        <v>0</v>
      </c>
      <c r="P15" s="28">
        <f>SUMIF($B$5:$B$91,"6月12日",$G$5:$G$91)</f>
        <v>0</v>
      </c>
      <c r="Q15" s="32">
        <f t="shared" si="0"/>
        <v>0</v>
      </c>
    </row>
    <row r="16" spans="1:17" ht="14.25">
      <c r="A16" s="15"/>
      <c r="B16" s="10"/>
      <c r="C16" s="22" t="s">
        <v>33</v>
      </c>
      <c r="D16" s="11"/>
      <c r="E16" s="12"/>
      <c r="F16" s="13"/>
      <c r="G16" s="13"/>
      <c r="H16" s="14">
        <f t="shared" si="1"/>
      </c>
      <c r="J16" s="27" t="str">
        <f>IF('１月'!J16="","",'１月'!J16)</f>
        <v>福利厚生費</v>
      </c>
      <c r="K16" s="28">
        <f t="shared" si="2"/>
        <v>0</v>
      </c>
      <c r="M16" s="31">
        <v>40707</v>
      </c>
      <c r="N16" s="42" t="s">
        <v>67</v>
      </c>
      <c r="O16" s="28">
        <f>SUMIF($B$5:$B$91,"6月13日",$F$5:$F$91)</f>
        <v>0</v>
      </c>
      <c r="P16" s="28">
        <f>SUMIF($B$5:$B$91,"6月13日",$G$5:$G$91)</f>
        <v>0</v>
      </c>
      <c r="Q16" s="32">
        <f t="shared" si="0"/>
        <v>0</v>
      </c>
    </row>
    <row r="17" spans="1:17" ht="14.25">
      <c r="A17" s="15"/>
      <c r="B17" s="10"/>
      <c r="C17" s="22" t="s">
        <v>33</v>
      </c>
      <c r="D17" s="11"/>
      <c r="E17" s="12"/>
      <c r="F17" s="13"/>
      <c r="G17" s="13"/>
      <c r="H17" s="14">
        <f t="shared" si="1"/>
      </c>
      <c r="J17" s="27" t="str">
        <f>IF('１月'!J17="","",'１月'!J17)</f>
        <v>給与賃金</v>
      </c>
      <c r="K17" s="28">
        <f t="shared" si="2"/>
        <v>0</v>
      </c>
      <c r="M17" s="31">
        <v>40708</v>
      </c>
      <c r="N17" s="42" t="s">
        <v>68</v>
      </c>
      <c r="O17" s="28">
        <f>SUMIF($B$5:$B$91,"6月14日",$F$5:$F$91)</f>
        <v>0</v>
      </c>
      <c r="P17" s="28">
        <f>SUMIF($B$5:$B$91,"6月14日",$G$5:$G$91)</f>
        <v>0</v>
      </c>
      <c r="Q17" s="32">
        <f t="shared" si="0"/>
        <v>0</v>
      </c>
    </row>
    <row r="18" spans="1:17" ht="14.25">
      <c r="A18" s="15"/>
      <c r="B18" s="10"/>
      <c r="C18" s="22" t="s">
        <v>33</v>
      </c>
      <c r="D18" s="11"/>
      <c r="E18" s="12"/>
      <c r="F18" s="13"/>
      <c r="G18" s="13"/>
      <c r="H18" s="14">
        <f t="shared" si="1"/>
      </c>
      <c r="J18" s="27" t="str">
        <f>IF('１月'!J18="","",'１月'!J18)</f>
        <v>利子割引料</v>
      </c>
      <c r="K18" s="28">
        <f t="shared" si="2"/>
        <v>0</v>
      </c>
      <c r="M18" s="31">
        <v>40709</v>
      </c>
      <c r="N18" s="42" t="s">
        <v>69</v>
      </c>
      <c r="O18" s="28">
        <f>SUMIF($B$5:$B$91,"6月15日",$F$5:$F$91)</f>
        <v>0</v>
      </c>
      <c r="P18" s="28">
        <f>SUMIF($B$5:$B$91,"6月15日",$G$5:$G$91)</f>
        <v>0</v>
      </c>
      <c r="Q18" s="32">
        <f t="shared" si="0"/>
        <v>0</v>
      </c>
    </row>
    <row r="19" spans="1:17" ht="14.25">
      <c r="A19" s="15"/>
      <c r="B19" s="10"/>
      <c r="C19" s="22" t="s">
        <v>33</v>
      </c>
      <c r="D19" s="11"/>
      <c r="E19" s="12"/>
      <c r="F19" s="13"/>
      <c r="G19" s="13"/>
      <c r="H19" s="14">
        <f t="shared" si="1"/>
      </c>
      <c r="J19" s="27" t="str">
        <f>IF('１月'!J19="","",'１月'!J19)</f>
        <v>地代家賃</v>
      </c>
      <c r="K19" s="28">
        <f t="shared" si="2"/>
        <v>0</v>
      </c>
      <c r="M19" s="31">
        <v>40710</v>
      </c>
      <c r="N19" s="42" t="s">
        <v>70</v>
      </c>
      <c r="O19" s="28">
        <f>SUMIF($B$5:$B$91,"6月16日",$F$5:$F$91)</f>
        <v>0</v>
      </c>
      <c r="P19" s="28">
        <f>SUMIF($B$5:$B$91,"6月16日",$G$5:$G$91)</f>
        <v>0</v>
      </c>
      <c r="Q19" s="32">
        <f t="shared" si="0"/>
        <v>0</v>
      </c>
    </row>
    <row r="20" spans="1:17" ht="14.25">
      <c r="A20" s="15"/>
      <c r="B20" s="10"/>
      <c r="C20" s="22" t="s">
        <v>33</v>
      </c>
      <c r="D20" s="11"/>
      <c r="E20" s="12"/>
      <c r="F20" s="13"/>
      <c r="G20" s="13"/>
      <c r="H20" s="14">
        <f t="shared" si="1"/>
      </c>
      <c r="J20" s="27" t="str">
        <f>IF('１月'!J20="","",'１月'!J20)</f>
        <v>貸倒金</v>
      </c>
      <c r="K20" s="28">
        <f t="shared" si="2"/>
        <v>0</v>
      </c>
      <c r="M20" s="31">
        <v>40711</v>
      </c>
      <c r="N20" s="42" t="s">
        <v>71</v>
      </c>
      <c r="O20" s="28">
        <f>SUMIF($B$5:$B$91,"6月17日",$F$5:$F$91)</f>
        <v>0</v>
      </c>
      <c r="P20" s="28">
        <f>SUMIF($B$5:$B$91,"6月17日",$G$5:$G$91)</f>
        <v>0</v>
      </c>
      <c r="Q20" s="32">
        <f t="shared" si="0"/>
        <v>0</v>
      </c>
    </row>
    <row r="21" spans="1:17" ht="14.25">
      <c r="A21" s="15"/>
      <c r="B21" s="10"/>
      <c r="C21" s="22" t="s">
        <v>33</v>
      </c>
      <c r="D21" s="11"/>
      <c r="E21" s="16"/>
      <c r="F21" s="13"/>
      <c r="G21" s="13"/>
      <c r="H21" s="14">
        <f t="shared" si="1"/>
      </c>
      <c r="J21" s="27" t="str">
        <f>IF('１月'!J21="","",'１月'!J21)</f>
        <v>専従者給与</v>
      </c>
      <c r="K21" s="28">
        <f t="shared" si="2"/>
        <v>0</v>
      </c>
      <c r="M21" s="31">
        <v>40712</v>
      </c>
      <c r="N21" s="42" t="s">
        <v>72</v>
      </c>
      <c r="O21" s="28">
        <f>SUMIF($B$5:$B$91,"6月18日",$F$5:$F$91)</f>
        <v>0</v>
      </c>
      <c r="P21" s="28">
        <f>SUMIF($B$5:$B$91,"6月18日",$G$5:$G$91)</f>
        <v>0</v>
      </c>
      <c r="Q21" s="32">
        <f t="shared" si="0"/>
        <v>0</v>
      </c>
    </row>
    <row r="22" spans="1:17" ht="14.25">
      <c r="A22" s="15"/>
      <c r="B22" s="10"/>
      <c r="C22" s="22" t="s">
        <v>33</v>
      </c>
      <c r="D22" s="11"/>
      <c r="E22" s="12"/>
      <c r="F22" s="13"/>
      <c r="G22" s="13"/>
      <c r="H22" s="14">
        <f t="shared" si="1"/>
      </c>
      <c r="J22" s="27" t="str">
        <f>IF('１月'!J22="","",'１月'!J22)</f>
        <v>リース料</v>
      </c>
      <c r="K22" s="28">
        <f t="shared" si="2"/>
        <v>0</v>
      </c>
      <c r="M22" s="31">
        <v>40713</v>
      </c>
      <c r="N22" s="42" t="s">
        <v>66</v>
      </c>
      <c r="O22" s="28">
        <f>SUMIF($B$5:$B$91,"6月19日",$F$5:$F$91)</f>
        <v>0</v>
      </c>
      <c r="P22" s="28">
        <f>SUMIF($B$5:$B$91,"6月19日",$G$5:$G$91)</f>
        <v>0</v>
      </c>
      <c r="Q22" s="32">
        <f t="shared" si="0"/>
        <v>0</v>
      </c>
    </row>
    <row r="23" spans="1:17" ht="14.25">
      <c r="A23" s="15"/>
      <c r="B23" s="10"/>
      <c r="C23" s="22" t="s">
        <v>33</v>
      </c>
      <c r="D23" s="11"/>
      <c r="E23" s="12"/>
      <c r="F23" s="13"/>
      <c r="G23" s="13"/>
      <c r="H23" s="14">
        <f t="shared" si="1"/>
      </c>
      <c r="J23" s="27" t="str">
        <f>IF('１月'!J23="","",'１月'!J23)</f>
        <v>外注費</v>
      </c>
      <c r="K23" s="28">
        <f t="shared" si="2"/>
        <v>0</v>
      </c>
      <c r="M23" s="31">
        <v>40714</v>
      </c>
      <c r="N23" s="42" t="s">
        <v>67</v>
      </c>
      <c r="O23" s="28">
        <f>SUMIF($B$5:$B$91,"6月20日",$F$5:$F$91)</f>
        <v>0</v>
      </c>
      <c r="P23" s="28">
        <f>SUMIF($B$5:$B$91,"6月20日",$G$5:$G$91)</f>
        <v>0</v>
      </c>
      <c r="Q23" s="32">
        <f t="shared" si="0"/>
        <v>0</v>
      </c>
    </row>
    <row r="24" spans="1:17" ht="14.25">
      <c r="A24" s="15"/>
      <c r="B24" s="10"/>
      <c r="C24" s="22" t="s">
        <v>33</v>
      </c>
      <c r="D24" s="11"/>
      <c r="E24" s="12"/>
      <c r="F24" s="13"/>
      <c r="G24" s="13"/>
      <c r="H24" s="14">
        <f t="shared" si="1"/>
      </c>
      <c r="J24" s="27">
        <f>IF('１月'!J24="","",'１月'!J24)</f>
      </c>
      <c r="K24" s="28">
        <f t="shared" si="2"/>
        <v>0</v>
      </c>
      <c r="M24" s="31">
        <v>40715</v>
      </c>
      <c r="N24" s="42" t="s">
        <v>68</v>
      </c>
      <c r="O24" s="28">
        <f>SUMIF($B$5:$B$91,"6月21日",$F$5:$F$91)</f>
        <v>0</v>
      </c>
      <c r="P24" s="28">
        <f>SUMIF($B$5:$B$91,"6月21日",$G$5:$G$91)</f>
        <v>0</v>
      </c>
      <c r="Q24" s="32">
        <f t="shared" si="0"/>
        <v>0</v>
      </c>
    </row>
    <row r="25" spans="1:17" ht="14.25">
      <c r="A25" s="15"/>
      <c r="B25" s="10"/>
      <c r="C25" s="22" t="s">
        <v>33</v>
      </c>
      <c r="D25" s="11"/>
      <c r="E25" s="12"/>
      <c r="F25" s="13"/>
      <c r="G25" s="13"/>
      <c r="H25" s="14">
        <f t="shared" si="1"/>
      </c>
      <c r="J25" s="27" t="str">
        <f>IF('１月'!J25="","",'１月'!J25)</f>
        <v>　</v>
      </c>
      <c r="K25" s="28">
        <f t="shared" si="2"/>
        <v>0</v>
      </c>
      <c r="M25" s="31">
        <v>40716</v>
      </c>
      <c r="N25" s="42" t="s">
        <v>69</v>
      </c>
      <c r="O25" s="28">
        <f>SUMIF($B$5:$B$91,"6月22日",$F$5:$F$91)</f>
        <v>0</v>
      </c>
      <c r="P25" s="28">
        <f>SUMIF($B$5:$B$91,"6月22日",$G$5:$G$91)</f>
        <v>0</v>
      </c>
      <c r="Q25" s="32">
        <f t="shared" si="0"/>
        <v>0</v>
      </c>
    </row>
    <row r="26" spans="1:17" ht="14.25">
      <c r="A26" s="15"/>
      <c r="B26" s="10"/>
      <c r="C26" s="22" t="s">
        <v>33</v>
      </c>
      <c r="D26" s="11"/>
      <c r="E26" s="12"/>
      <c r="F26" s="13"/>
      <c r="G26" s="13"/>
      <c r="H26" s="14">
        <f t="shared" si="1"/>
      </c>
      <c r="J26" s="27">
        <f>IF('１月'!J26="","",'１月'!J26)</f>
      </c>
      <c r="K26" s="28">
        <f t="shared" si="2"/>
        <v>0</v>
      </c>
      <c r="M26" s="31">
        <v>40717</v>
      </c>
      <c r="N26" s="42" t="s">
        <v>70</v>
      </c>
      <c r="O26" s="28">
        <f>SUMIF($B$5:$B$91,"6月23日",$F$5:$F$91)</f>
        <v>0</v>
      </c>
      <c r="P26" s="28">
        <f>SUMIF($B$5:$B$91,"6月23日",$G$5:$G$91)</f>
        <v>0</v>
      </c>
      <c r="Q26" s="32">
        <f t="shared" si="0"/>
        <v>0</v>
      </c>
    </row>
    <row r="27" spans="1:17" ht="14.25">
      <c r="A27" s="15"/>
      <c r="B27" s="10"/>
      <c r="C27" s="22" t="s">
        <v>33</v>
      </c>
      <c r="D27" s="11"/>
      <c r="E27" s="12"/>
      <c r="F27" s="13"/>
      <c r="G27" s="13"/>
      <c r="H27" s="14">
        <f t="shared" si="1"/>
      </c>
      <c r="J27" s="27">
        <f>IF('１月'!J27="","",'１月'!J27)</f>
      </c>
      <c r="K27" s="28">
        <f t="shared" si="2"/>
        <v>0</v>
      </c>
      <c r="M27" s="31">
        <v>40718</v>
      </c>
      <c r="N27" s="42" t="s">
        <v>71</v>
      </c>
      <c r="O27" s="28">
        <f>SUMIF($B$5:$B$91,"6月24日",$F$5:$F$91)</f>
        <v>0</v>
      </c>
      <c r="P27" s="28">
        <f>SUMIF($B$5:$B$91,"6月24日",$G$5:$G$91)</f>
        <v>0</v>
      </c>
      <c r="Q27" s="32">
        <f t="shared" si="0"/>
        <v>0</v>
      </c>
    </row>
    <row r="28" spans="1:17" ht="14.25">
      <c r="A28" s="15"/>
      <c r="B28" s="10"/>
      <c r="C28" s="22" t="s">
        <v>33</v>
      </c>
      <c r="D28" s="11"/>
      <c r="E28" s="12"/>
      <c r="F28" s="13"/>
      <c r="G28" s="13"/>
      <c r="H28" s="14">
        <f t="shared" si="1"/>
      </c>
      <c r="J28" s="27" t="str">
        <f>IF('１月'!J28="","",'１月'!J28)</f>
        <v>雑費</v>
      </c>
      <c r="K28" s="28">
        <f t="shared" si="2"/>
        <v>0</v>
      </c>
      <c r="M28" s="31">
        <v>40719</v>
      </c>
      <c r="N28" s="42" t="s">
        <v>72</v>
      </c>
      <c r="O28" s="28">
        <f>SUMIF($B$5:$B$91,"6月25日",$F$5:$F$91)</f>
        <v>0</v>
      </c>
      <c r="P28" s="28">
        <f>SUMIF($B$5:$B$91,"6月25日",$G$5:$G$91)</f>
        <v>0</v>
      </c>
      <c r="Q28" s="32">
        <f t="shared" si="0"/>
        <v>0</v>
      </c>
    </row>
    <row r="29" spans="1:17" ht="14.25">
      <c r="A29" s="15"/>
      <c r="B29" s="10"/>
      <c r="C29" s="22" t="s">
        <v>33</v>
      </c>
      <c r="D29" s="11"/>
      <c r="E29" s="12"/>
      <c r="F29" s="13"/>
      <c r="G29" s="13"/>
      <c r="H29" s="14">
        <f t="shared" si="1"/>
      </c>
      <c r="J29" s="27" t="str">
        <f>IF('１月'!J29="","",'１月'!J29)</f>
        <v>経費合計</v>
      </c>
      <c r="K29" s="28">
        <f>SUM(K6:K28)</f>
        <v>0</v>
      </c>
      <c r="M29" s="31">
        <v>40720</v>
      </c>
      <c r="N29" s="42" t="s">
        <v>66</v>
      </c>
      <c r="O29" s="28">
        <f>SUMIF($B$5:$B$91,"6月26日",$F$5:$F$91)</f>
        <v>0</v>
      </c>
      <c r="P29" s="28">
        <f>SUMIF($B$5:$B$91,"6月26日",$G$5:$G$91)</f>
        <v>0</v>
      </c>
      <c r="Q29" s="32">
        <f t="shared" si="0"/>
        <v>0</v>
      </c>
    </row>
    <row r="30" spans="1:17" ht="14.25">
      <c r="A30" s="15"/>
      <c r="B30" s="10"/>
      <c r="C30" s="22" t="s">
        <v>33</v>
      </c>
      <c r="D30" s="11"/>
      <c r="E30" s="12"/>
      <c r="F30" s="13"/>
      <c r="G30" s="13"/>
      <c r="H30" s="14">
        <f t="shared" si="1"/>
      </c>
      <c r="J30" s="27" t="str">
        <f>IF('１月'!J30="","",'１月'!J30)</f>
        <v>利益</v>
      </c>
      <c r="K30" s="28">
        <f>K5-K29</f>
        <v>0</v>
      </c>
      <c r="M30" s="31">
        <v>40721</v>
      </c>
      <c r="N30" s="42" t="s">
        <v>67</v>
      </c>
      <c r="O30" s="28">
        <f>SUMIF($B$5:$B$91,"6月27日",$F$5:$F$91)</f>
        <v>0</v>
      </c>
      <c r="P30" s="28">
        <f>SUMIF($B$5:$B$91,"6月27日",$G$5:$G$91)</f>
        <v>0</v>
      </c>
      <c r="Q30" s="32">
        <f t="shared" si="0"/>
        <v>0</v>
      </c>
    </row>
    <row r="31" spans="1:17" ht="13.5">
      <c r="A31" s="15"/>
      <c r="B31" s="10"/>
      <c r="C31" s="22" t="s">
        <v>33</v>
      </c>
      <c r="D31" s="11"/>
      <c r="E31" s="12"/>
      <c r="F31" s="13"/>
      <c r="G31" s="13"/>
      <c r="H31" s="14">
        <f t="shared" si="1"/>
      </c>
      <c r="J31" s="27" t="str">
        <f>IF('１月'!J31="","",'１月'!J31)</f>
        <v>入金</v>
      </c>
      <c r="K31" s="28">
        <f>SUMIF($C$5:$C$91,J31,$F$5:$F$91)</f>
        <v>0</v>
      </c>
      <c r="M31" s="31">
        <v>40722</v>
      </c>
      <c r="N31" s="42" t="s">
        <v>68</v>
      </c>
      <c r="O31" s="28">
        <f>SUMIF($B$5:$B$91,"6月28日",$F$5:$F$91)</f>
        <v>0</v>
      </c>
      <c r="P31" s="28">
        <f>SUMIF($B$5:$B$91,"6月28日",$G$5:$G$91)</f>
        <v>0</v>
      </c>
      <c r="Q31" s="32">
        <f t="shared" si="0"/>
        <v>0</v>
      </c>
    </row>
    <row r="32" spans="1:17" ht="13.5">
      <c r="A32" s="15"/>
      <c r="B32" s="10"/>
      <c r="C32" s="22" t="s">
        <v>33</v>
      </c>
      <c r="D32" s="11"/>
      <c r="E32" s="12"/>
      <c r="F32" s="13"/>
      <c r="G32" s="13"/>
      <c r="H32" s="14">
        <f t="shared" si="1"/>
      </c>
      <c r="J32" s="27" t="str">
        <f>IF('１月'!J32="","",'１月'!J32)</f>
        <v>その他支払い</v>
      </c>
      <c r="K32" s="28">
        <f>SUMIF($C$5:$C$91,J32,$G$5:$G$91)</f>
        <v>0</v>
      </c>
      <c r="M32" s="31">
        <v>40723</v>
      </c>
      <c r="N32" s="42" t="s">
        <v>69</v>
      </c>
      <c r="O32" s="28">
        <f>SUMIF($B$5:$B$91,"6月29日",$F$5:$F$91)</f>
        <v>0</v>
      </c>
      <c r="P32" s="28">
        <f>SUMIF($B$5:$B$91,"6月29日",$G$5:$G$91)</f>
        <v>0</v>
      </c>
      <c r="Q32" s="32">
        <f t="shared" si="0"/>
        <v>0</v>
      </c>
    </row>
    <row r="33" spans="1:17" ht="13.5">
      <c r="A33" s="15"/>
      <c r="B33" s="10"/>
      <c r="C33" s="22" t="s">
        <v>33</v>
      </c>
      <c r="D33" s="11"/>
      <c r="E33" s="12"/>
      <c r="F33" s="13"/>
      <c r="G33" s="13"/>
      <c r="H33" s="14">
        <f t="shared" si="1"/>
      </c>
      <c r="K33" s="3"/>
      <c r="M33" s="31">
        <v>40724</v>
      </c>
      <c r="N33" s="42" t="s">
        <v>70</v>
      </c>
      <c r="O33" s="28">
        <f>SUMIF($B$5:$B$91,"6月30日",$F$5:$F$91)</f>
        <v>0</v>
      </c>
      <c r="P33" s="28">
        <f>SUMIF($B$5:$B$91,"6月30日",$G$5:$G$91)</f>
        <v>0</v>
      </c>
      <c r="Q33" s="32">
        <f t="shared" si="0"/>
        <v>0</v>
      </c>
    </row>
    <row r="34" spans="1:17" ht="13.5">
      <c r="A34" s="15"/>
      <c r="B34" s="10"/>
      <c r="C34" s="22" t="s">
        <v>33</v>
      </c>
      <c r="D34" s="11"/>
      <c r="E34" s="12"/>
      <c r="F34" s="13"/>
      <c r="G34" s="13"/>
      <c r="H34" s="14">
        <f t="shared" si="1"/>
      </c>
      <c r="K34" s="3"/>
      <c r="M34" s="27"/>
      <c r="N34" s="27"/>
      <c r="O34" s="32">
        <f>SUM(O4:O33)</f>
        <v>0</v>
      </c>
      <c r="P34" s="32">
        <f>SUM(P4:P33)</f>
        <v>0</v>
      </c>
      <c r="Q34" s="32">
        <f t="shared" si="0"/>
        <v>0</v>
      </c>
    </row>
    <row r="35" spans="1:11" ht="13.5">
      <c r="A35" s="15"/>
      <c r="B35" s="10"/>
      <c r="C35" s="22" t="s">
        <v>33</v>
      </c>
      <c r="D35" s="11"/>
      <c r="E35" s="12"/>
      <c r="F35" s="13"/>
      <c r="G35" s="13"/>
      <c r="H35" s="14">
        <f t="shared" si="1"/>
      </c>
      <c r="K35" s="3"/>
    </row>
    <row r="36" spans="1:8" ht="13.5">
      <c r="A36" s="15"/>
      <c r="B36" s="10"/>
      <c r="C36" s="22" t="s">
        <v>33</v>
      </c>
      <c r="D36" s="11"/>
      <c r="E36" s="12"/>
      <c r="F36" s="13"/>
      <c r="G36" s="13"/>
      <c r="H36" s="14">
        <f t="shared" si="1"/>
      </c>
    </row>
    <row r="37" spans="1:11" ht="13.5">
      <c r="A37" s="15"/>
      <c r="B37" s="10"/>
      <c r="C37" s="22" t="s">
        <v>33</v>
      </c>
      <c r="D37" s="11"/>
      <c r="E37" s="12"/>
      <c r="F37" s="13"/>
      <c r="G37" s="13"/>
      <c r="H37" s="14">
        <f t="shared" si="1"/>
      </c>
      <c r="J37" s="27">
        <f>IF('１月'!J37="","",'１月'!J37)</f>
      </c>
      <c r="K37" s="28">
        <f aca="true" t="shared" si="3" ref="K37:K46">SUMIF($D$5:$D$91,J37,$G$5:$G$91)</f>
        <v>0</v>
      </c>
    </row>
    <row r="38" spans="1:11" ht="13.5">
      <c r="A38" s="15"/>
      <c r="B38" s="10"/>
      <c r="C38" s="22" t="s">
        <v>33</v>
      </c>
      <c r="D38" s="11"/>
      <c r="E38" s="12"/>
      <c r="F38" s="13"/>
      <c r="G38" s="13"/>
      <c r="H38" s="14">
        <f t="shared" si="1"/>
      </c>
      <c r="J38" s="27">
        <f>IF('１月'!J38="","",'１月'!J38)</f>
      </c>
      <c r="K38" s="28">
        <f t="shared" si="3"/>
        <v>0</v>
      </c>
    </row>
    <row r="39" spans="1:11" ht="13.5">
      <c r="A39" s="15"/>
      <c r="B39" s="10"/>
      <c r="C39" s="22" t="s">
        <v>33</v>
      </c>
      <c r="D39" s="11"/>
      <c r="E39" s="12"/>
      <c r="F39" s="13"/>
      <c r="G39" s="13"/>
      <c r="H39" s="14">
        <f t="shared" si="1"/>
      </c>
      <c r="J39" s="27">
        <f>IF('１月'!J39="","",'１月'!J39)</f>
      </c>
      <c r="K39" s="28">
        <f t="shared" si="3"/>
        <v>0</v>
      </c>
    </row>
    <row r="40" spans="1:11" ht="13.5">
      <c r="A40" s="15"/>
      <c r="B40" s="10"/>
      <c r="C40" s="22" t="s">
        <v>33</v>
      </c>
      <c r="D40" s="11"/>
      <c r="E40" s="12"/>
      <c r="F40" s="13"/>
      <c r="G40" s="13"/>
      <c r="H40" s="14">
        <f t="shared" si="1"/>
      </c>
      <c r="J40" s="27">
        <f>IF('１月'!J40="","",'１月'!J40)</f>
      </c>
      <c r="K40" s="28">
        <f t="shared" si="3"/>
        <v>0</v>
      </c>
    </row>
    <row r="41" spans="1:11" ht="13.5">
      <c r="A41" s="15"/>
      <c r="B41" s="10"/>
      <c r="C41" s="22" t="s">
        <v>33</v>
      </c>
      <c r="D41" s="11"/>
      <c r="E41" s="12"/>
      <c r="F41" s="13"/>
      <c r="G41" s="13"/>
      <c r="H41" s="14">
        <f t="shared" si="1"/>
      </c>
      <c r="J41" s="27">
        <f>IF('１月'!J41="","",'１月'!J41)</f>
      </c>
      <c r="K41" s="28">
        <f t="shared" si="3"/>
        <v>0</v>
      </c>
    </row>
    <row r="42" spans="1:11" ht="13.5">
      <c r="A42" s="15"/>
      <c r="B42" s="10"/>
      <c r="C42" s="22" t="s">
        <v>33</v>
      </c>
      <c r="D42" s="11"/>
      <c r="E42" s="12"/>
      <c r="F42" s="13"/>
      <c r="G42" s="13"/>
      <c r="H42" s="14">
        <f t="shared" si="1"/>
      </c>
      <c r="J42" s="27">
        <f>IF('１月'!J42="","",'１月'!J42)</f>
      </c>
      <c r="K42" s="28">
        <f t="shared" si="3"/>
        <v>0</v>
      </c>
    </row>
    <row r="43" spans="1:11" ht="13.5">
      <c r="A43" s="15"/>
      <c r="B43" s="10"/>
      <c r="C43" s="22" t="s">
        <v>33</v>
      </c>
      <c r="D43" s="11"/>
      <c r="E43" s="12"/>
      <c r="F43" s="13"/>
      <c r="G43" s="13"/>
      <c r="H43" s="14">
        <f t="shared" si="1"/>
      </c>
      <c r="J43" s="27">
        <f>IF('１月'!J43="","",'１月'!J43)</f>
      </c>
      <c r="K43" s="28">
        <f t="shared" si="3"/>
        <v>0</v>
      </c>
    </row>
    <row r="44" spans="1:11" ht="13.5">
      <c r="A44" s="15"/>
      <c r="B44" s="10"/>
      <c r="C44" s="22" t="s">
        <v>33</v>
      </c>
      <c r="D44" s="11"/>
      <c r="E44" s="12"/>
      <c r="F44" s="13"/>
      <c r="G44" s="13"/>
      <c r="H44" s="14">
        <f t="shared" si="1"/>
      </c>
      <c r="J44" s="27">
        <f>IF('１月'!J44="","",'１月'!J44)</f>
      </c>
      <c r="K44" s="28">
        <f t="shared" si="3"/>
        <v>0</v>
      </c>
    </row>
    <row r="45" spans="1:11" ht="13.5">
      <c r="A45" s="15"/>
      <c r="B45" s="10"/>
      <c r="C45" s="22" t="s">
        <v>33</v>
      </c>
      <c r="D45" s="11"/>
      <c r="E45" s="12"/>
      <c r="F45" s="13"/>
      <c r="G45" s="13"/>
      <c r="H45" s="14">
        <f t="shared" si="1"/>
      </c>
      <c r="J45" s="27">
        <f>IF('１月'!J45="","",'１月'!J45)</f>
      </c>
      <c r="K45" s="28">
        <f t="shared" si="3"/>
        <v>0</v>
      </c>
    </row>
    <row r="46" spans="1:11" ht="13.5">
      <c r="A46" s="15"/>
      <c r="B46" s="10"/>
      <c r="C46" s="22" t="s">
        <v>33</v>
      </c>
      <c r="D46" s="11"/>
      <c r="E46" s="12"/>
      <c r="F46" s="13"/>
      <c r="G46" s="13"/>
      <c r="H46" s="14">
        <f t="shared" si="1"/>
      </c>
      <c r="J46" s="27">
        <f>IF('１月'!J46="","",'１月'!J46)</f>
      </c>
      <c r="K46" s="28">
        <f t="shared" si="3"/>
        <v>0</v>
      </c>
    </row>
    <row r="47" spans="1:8" ht="13.5">
      <c r="A47" s="15"/>
      <c r="B47" s="10"/>
      <c r="C47" s="22" t="s">
        <v>33</v>
      </c>
      <c r="D47" s="11"/>
      <c r="E47" s="12"/>
      <c r="F47" s="13"/>
      <c r="G47" s="13"/>
      <c r="H47" s="14">
        <f t="shared" si="1"/>
      </c>
    </row>
    <row r="48" spans="1:8" ht="13.5">
      <c r="A48" s="15"/>
      <c r="B48" s="10"/>
      <c r="C48" s="22" t="s">
        <v>33</v>
      </c>
      <c r="D48" s="11"/>
      <c r="E48" s="12"/>
      <c r="F48" s="13"/>
      <c r="G48" s="13"/>
      <c r="H48" s="14">
        <f t="shared" si="1"/>
      </c>
    </row>
    <row r="49" spans="1:8" ht="13.5">
      <c r="A49" s="15"/>
      <c r="B49" s="10"/>
      <c r="C49" s="22" t="s">
        <v>33</v>
      </c>
      <c r="D49" s="11"/>
      <c r="E49" s="12"/>
      <c r="F49" s="13"/>
      <c r="G49" s="13"/>
      <c r="H49" s="14">
        <f t="shared" si="1"/>
      </c>
    </row>
    <row r="50" spans="1:8" ht="13.5">
      <c r="A50" s="15"/>
      <c r="B50" s="10"/>
      <c r="C50" s="22" t="s">
        <v>33</v>
      </c>
      <c r="D50" s="11"/>
      <c r="E50" s="12"/>
      <c r="F50" s="13"/>
      <c r="G50" s="13"/>
      <c r="H50" s="14">
        <f t="shared" si="1"/>
      </c>
    </row>
    <row r="51" spans="1:8" ht="13.5">
      <c r="A51" s="15"/>
      <c r="B51" s="10"/>
      <c r="C51" s="22" t="s">
        <v>33</v>
      </c>
      <c r="D51" s="11"/>
      <c r="E51" s="12"/>
      <c r="F51" s="13"/>
      <c r="G51" s="13"/>
      <c r="H51" s="14">
        <f t="shared" si="1"/>
      </c>
    </row>
    <row r="52" spans="1:8" ht="13.5">
      <c r="A52" s="15"/>
      <c r="B52" s="10"/>
      <c r="C52" s="22" t="s">
        <v>33</v>
      </c>
      <c r="D52" s="11"/>
      <c r="E52" s="12"/>
      <c r="F52" s="13"/>
      <c r="G52" s="13"/>
      <c r="H52" s="14">
        <f t="shared" si="1"/>
      </c>
    </row>
    <row r="53" spans="1:8" ht="13.5">
      <c r="A53" s="15"/>
      <c r="B53" s="10"/>
      <c r="C53" s="22" t="s">
        <v>33</v>
      </c>
      <c r="D53" s="11"/>
      <c r="E53" s="12"/>
      <c r="F53" s="13"/>
      <c r="G53" s="13"/>
      <c r="H53" s="14">
        <f t="shared" si="1"/>
      </c>
    </row>
    <row r="54" spans="1:8" ht="13.5">
      <c r="A54" s="15"/>
      <c r="B54" s="10"/>
      <c r="C54" s="22" t="s">
        <v>33</v>
      </c>
      <c r="D54" s="11"/>
      <c r="E54" s="12"/>
      <c r="F54" s="13"/>
      <c r="G54" s="13"/>
      <c r="H54" s="14">
        <f t="shared" si="1"/>
      </c>
    </row>
    <row r="55" spans="1:8" ht="13.5">
      <c r="A55" s="15"/>
      <c r="B55" s="10"/>
      <c r="C55" s="22" t="s">
        <v>33</v>
      </c>
      <c r="D55" s="11"/>
      <c r="E55" s="12"/>
      <c r="F55" s="13"/>
      <c r="G55" s="13"/>
      <c r="H55" s="14">
        <f t="shared" si="1"/>
      </c>
    </row>
    <row r="56" spans="1:8" ht="13.5">
      <c r="A56" s="15"/>
      <c r="B56" s="10"/>
      <c r="C56" s="22" t="s">
        <v>33</v>
      </c>
      <c r="D56" s="11"/>
      <c r="E56" s="12"/>
      <c r="F56" s="13"/>
      <c r="G56" s="13"/>
      <c r="H56" s="14">
        <f t="shared" si="1"/>
      </c>
    </row>
    <row r="57" spans="1:8" ht="13.5">
      <c r="A57" s="15"/>
      <c r="B57" s="10"/>
      <c r="C57" s="22" t="s">
        <v>33</v>
      </c>
      <c r="D57" s="11"/>
      <c r="E57" s="12"/>
      <c r="F57" s="13"/>
      <c r="G57" s="13"/>
      <c r="H57" s="14">
        <f t="shared" si="1"/>
      </c>
    </row>
    <row r="58" spans="1:8" ht="13.5">
      <c r="A58" s="15"/>
      <c r="B58" s="10"/>
      <c r="C58" s="22" t="s">
        <v>33</v>
      </c>
      <c r="D58" s="11"/>
      <c r="E58" s="12"/>
      <c r="F58" s="13"/>
      <c r="G58" s="13"/>
      <c r="H58" s="14">
        <f t="shared" si="1"/>
      </c>
    </row>
    <row r="59" spans="1:8" ht="13.5">
      <c r="A59" s="15"/>
      <c r="B59" s="10"/>
      <c r="C59" s="22" t="s">
        <v>33</v>
      </c>
      <c r="D59" s="11"/>
      <c r="E59" s="12"/>
      <c r="F59" s="13"/>
      <c r="G59" s="13"/>
      <c r="H59" s="14">
        <f t="shared" si="1"/>
      </c>
    </row>
    <row r="60" spans="1:8" ht="13.5">
      <c r="A60" s="15"/>
      <c r="B60" s="10"/>
      <c r="C60" s="22" t="s">
        <v>33</v>
      </c>
      <c r="D60" s="11"/>
      <c r="E60" s="12"/>
      <c r="F60" s="13"/>
      <c r="G60" s="13"/>
      <c r="H60" s="14">
        <f t="shared" si="1"/>
      </c>
    </row>
    <row r="61" spans="1:8" ht="13.5">
      <c r="A61" s="15"/>
      <c r="B61" s="10"/>
      <c r="C61" s="22" t="s">
        <v>33</v>
      </c>
      <c r="D61" s="11"/>
      <c r="E61" s="12"/>
      <c r="F61" s="13"/>
      <c r="G61" s="13"/>
      <c r="H61" s="14">
        <f t="shared" si="1"/>
      </c>
    </row>
    <row r="62" spans="1:8" ht="13.5">
      <c r="A62" s="15"/>
      <c r="B62" s="10"/>
      <c r="C62" s="22" t="s">
        <v>33</v>
      </c>
      <c r="D62" s="11"/>
      <c r="E62" s="12"/>
      <c r="F62" s="13"/>
      <c r="G62" s="13"/>
      <c r="H62" s="14">
        <f t="shared" si="1"/>
      </c>
    </row>
    <row r="63" spans="1:8" ht="13.5">
      <c r="A63" s="15"/>
      <c r="B63" s="10"/>
      <c r="C63" s="22" t="s">
        <v>33</v>
      </c>
      <c r="D63" s="11"/>
      <c r="E63" s="12"/>
      <c r="F63" s="13"/>
      <c r="G63" s="13"/>
      <c r="H63" s="14">
        <f t="shared" si="1"/>
      </c>
    </row>
    <row r="64" spans="1:8" ht="13.5">
      <c r="A64" s="15"/>
      <c r="B64" s="10"/>
      <c r="C64" s="22" t="s">
        <v>33</v>
      </c>
      <c r="D64" s="11"/>
      <c r="E64" s="12"/>
      <c r="F64" s="13"/>
      <c r="G64" s="13"/>
      <c r="H64" s="14">
        <f t="shared" si="1"/>
      </c>
    </row>
    <row r="65" spans="1:8" ht="13.5">
      <c r="A65" s="15"/>
      <c r="B65" s="10"/>
      <c r="C65" s="22" t="s">
        <v>33</v>
      </c>
      <c r="D65" s="11"/>
      <c r="E65" s="12"/>
      <c r="F65" s="13"/>
      <c r="G65" s="13"/>
      <c r="H65" s="14">
        <f t="shared" si="1"/>
      </c>
    </row>
    <row r="66" spans="1:8" ht="13.5">
      <c r="A66" s="15"/>
      <c r="B66" s="10"/>
      <c r="C66" s="22" t="s">
        <v>33</v>
      </c>
      <c r="D66" s="11"/>
      <c r="E66" s="12"/>
      <c r="F66" s="13"/>
      <c r="G66" s="13"/>
      <c r="H66" s="14">
        <f t="shared" si="1"/>
      </c>
    </row>
    <row r="67" spans="1:8" ht="13.5">
      <c r="A67" s="15"/>
      <c r="B67" s="10"/>
      <c r="C67" s="22" t="s">
        <v>33</v>
      </c>
      <c r="D67" s="11"/>
      <c r="E67" s="12"/>
      <c r="F67" s="13"/>
      <c r="G67" s="13"/>
      <c r="H67" s="14">
        <f t="shared" si="1"/>
      </c>
    </row>
    <row r="68" spans="1:8" ht="13.5">
      <c r="A68" s="15"/>
      <c r="B68" s="10"/>
      <c r="C68" s="22" t="s">
        <v>33</v>
      </c>
      <c r="D68" s="11"/>
      <c r="E68" s="12"/>
      <c r="F68" s="13"/>
      <c r="G68" s="13"/>
      <c r="H68" s="14">
        <f t="shared" si="1"/>
      </c>
    </row>
    <row r="69" spans="1:8" ht="13.5">
      <c r="A69" s="15"/>
      <c r="B69" s="10"/>
      <c r="C69" s="22" t="s">
        <v>33</v>
      </c>
      <c r="D69" s="11"/>
      <c r="E69" s="12"/>
      <c r="F69" s="13"/>
      <c r="G69" s="13"/>
      <c r="H69" s="14">
        <f t="shared" si="1"/>
      </c>
    </row>
    <row r="70" spans="1:8" ht="13.5">
      <c r="A70" s="15"/>
      <c r="B70" s="10"/>
      <c r="C70" s="22" t="s">
        <v>33</v>
      </c>
      <c r="D70" s="11"/>
      <c r="E70" s="12"/>
      <c r="F70" s="13"/>
      <c r="G70" s="13"/>
      <c r="H70" s="14">
        <f aca="true" t="shared" si="4" ref="H70:H91">IF(OR(H69="",AND(F70="",G70="")),"",H69+F70-G70)</f>
      </c>
    </row>
    <row r="71" spans="1:8" ht="13.5">
      <c r="A71" s="15"/>
      <c r="B71" s="10"/>
      <c r="C71" s="22" t="s">
        <v>33</v>
      </c>
      <c r="D71" s="11"/>
      <c r="E71" s="12"/>
      <c r="F71" s="13"/>
      <c r="G71" s="13"/>
      <c r="H71" s="14">
        <f t="shared" si="4"/>
      </c>
    </row>
    <row r="72" spans="1:8" ht="13.5">
      <c r="A72" s="15"/>
      <c r="B72" s="10"/>
      <c r="C72" s="22" t="s">
        <v>33</v>
      </c>
      <c r="D72" s="11"/>
      <c r="E72" s="12"/>
      <c r="F72" s="13"/>
      <c r="G72" s="13"/>
      <c r="H72" s="14">
        <f t="shared" si="4"/>
      </c>
    </row>
    <row r="73" spans="1:8" ht="13.5">
      <c r="A73" s="15"/>
      <c r="B73" s="10"/>
      <c r="C73" s="22" t="s">
        <v>33</v>
      </c>
      <c r="D73" s="11"/>
      <c r="E73" s="12"/>
      <c r="F73" s="13"/>
      <c r="G73" s="13"/>
      <c r="H73" s="14">
        <f t="shared" si="4"/>
      </c>
    </row>
    <row r="74" spans="1:8" ht="13.5">
      <c r="A74" s="15"/>
      <c r="B74" s="10"/>
      <c r="C74" s="22" t="s">
        <v>33</v>
      </c>
      <c r="D74" s="11"/>
      <c r="E74" s="12"/>
      <c r="F74" s="13"/>
      <c r="G74" s="13"/>
      <c r="H74" s="14">
        <f t="shared" si="4"/>
      </c>
    </row>
    <row r="75" spans="1:8" ht="13.5">
      <c r="A75" s="15"/>
      <c r="B75" s="10"/>
      <c r="C75" s="22" t="s">
        <v>33</v>
      </c>
      <c r="D75" s="11"/>
      <c r="E75" s="12"/>
      <c r="F75" s="13"/>
      <c r="G75" s="13"/>
      <c r="H75" s="14">
        <f t="shared" si="4"/>
      </c>
    </row>
    <row r="76" spans="1:8" ht="13.5">
      <c r="A76" s="15"/>
      <c r="B76" s="10"/>
      <c r="C76" s="22" t="s">
        <v>33</v>
      </c>
      <c r="D76" s="11"/>
      <c r="E76" s="12"/>
      <c r="F76" s="13"/>
      <c r="G76" s="13"/>
      <c r="H76" s="14">
        <f t="shared" si="4"/>
      </c>
    </row>
    <row r="77" spans="1:8" ht="13.5">
      <c r="A77" s="15"/>
      <c r="B77" s="10"/>
      <c r="C77" s="22" t="s">
        <v>33</v>
      </c>
      <c r="D77" s="11"/>
      <c r="E77" s="12"/>
      <c r="F77" s="13"/>
      <c r="G77" s="13"/>
      <c r="H77" s="14">
        <f t="shared" si="4"/>
      </c>
    </row>
    <row r="78" spans="1:8" ht="13.5">
      <c r="A78" s="15"/>
      <c r="B78" s="10"/>
      <c r="C78" s="22" t="s">
        <v>33</v>
      </c>
      <c r="D78" s="11"/>
      <c r="E78" s="12"/>
      <c r="F78" s="13"/>
      <c r="G78" s="13"/>
      <c r="H78" s="14">
        <f t="shared" si="4"/>
      </c>
    </row>
    <row r="79" spans="1:8" ht="13.5">
      <c r="A79" s="15"/>
      <c r="B79" s="10"/>
      <c r="C79" s="22" t="s">
        <v>33</v>
      </c>
      <c r="D79" s="11"/>
      <c r="E79" s="12"/>
      <c r="F79" s="13"/>
      <c r="G79" s="13"/>
      <c r="H79" s="14">
        <f t="shared" si="4"/>
      </c>
    </row>
    <row r="80" spans="1:8" ht="13.5">
      <c r="A80" s="15"/>
      <c r="B80" s="10"/>
      <c r="C80" s="22" t="s">
        <v>33</v>
      </c>
      <c r="D80" s="11"/>
      <c r="E80" s="12"/>
      <c r="F80" s="13"/>
      <c r="G80" s="13"/>
      <c r="H80" s="14">
        <f t="shared" si="4"/>
      </c>
    </row>
    <row r="81" spans="1:8" ht="13.5">
      <c r="A81" s="15"/>
      <c r="B81" s="10"/>
      <c r="C81" s="22" t="s">
        <v>33</v>
      </c>
      <c r="D81" s="11"/>
      <c r="E81" s="12"/>
      <c r="F81" s="13"/>
      <c r="G81" s="13"/>
      <c r="H81" s="14">
        <f t="shared" si="4"/>
      </c>
    </row>
    <row r="82" spans="1:8" ht="13.5">
      <c r="A82" s="15"/>
      <c r="B82" s="10"/>
      <c r="C82" s="22" t="s">
        <v>33</v>
      </c>
      <c r="D82" s="11"/>
      <c r="E82" s="12"/>
      <c r="F82" s="13"/>
      <c r="G82" s="13"/>
      <c r="H82" s="14">
        <f t="shared" si="4"/>
      </c>
    </row>
    <row r="83" spans="1:8" ht="13.5">
      <c r="A83" s="15"/>
      <c r="B83" s="10"/>
      <c r="C83" s="22" t="s">
        <v>33</v>
      </c>
      <c r="D83" s="11"/>
      <c r="E83" s="12"/>
      <c r="F83" s="13"/>
      <c r="G83" s="13"/>
      <c r="H83" s="14">
        <f t="shared" si="4"/>
      </c>
    </row>
    <row r="84" spans="1:8" ht="13.5">
      <c r="A84" s="15"/>
      <c r="B84" s="10"/>
      <c r="C84" s="22" t="s">
        <v>33</v>
      </c>
      <c r="D84" s="11"/>
      <c r="E84" s="12"/>
      <c r="F84" s="13"/>
      <c r="G84" s="13"/>
      <c r="H84" s="14">
        <f t="shared" si="4"/>
      </c>
    </row>
    <row r="85" spans="1:8" ht="13.5">
      <c r="A85" s="15"/>
      <c r="B85" s="10"/>
      <c r="C85" s="22" t="s">
        <v>33</v>
      </c>
      <c r="D85" s="11"/>
      <c r="E85" s="12"/>
      <c r="F85" s="13"/>
      <c r="G85" s="13"/>
      <c r="H85" s="14">
        <f t="shared" si="4"/>
      </c>
    </row>
    <row r="86" spans="1:8" ht="13.5">
      <c r="A86" s="15"/>
      <c r="B86" s="10"/>
      <c r="C86" s="22" t="s">
        <v>33</v>
      </c>
      <c r="D86" s="11"/>
      <c r="E86" s="12"/>
      <c r="F86" s="13"/>
      <c r="G86" s="13"/>
      <c r="H86" s="14">
        <f t="shared" si="4"/>
      </c>
    </row>
    <row r="87" spans="1:8" ht="13.5">
      <c r="A87" s="15"/>
      <c r="B87" s="10"/>
      <c r="C87" s="22" t="s">
        <v>33</v>
      </c>
      <c r="D87" s="11"/>
      <c r="E87" s="12"/>
      <c r="F87" s="13"/>
      <c r="G87" s="13"/>
      <c r="H87" s="14">
        <f t="shared" si="4"/>
      </c>
    </row>
    <row r="88" spans="1:8" ht="13.5">
      <c r="A88" s="15"/>
      <c r="B88" s="10"/>
      <c r="C88" s="22" t="s">
        <v>33</v>
      </c>
      <c r="D88" s="11"/>
      <c r="E88" s="12"/>
      <c r="F88" s="13"/>
      <c r="G88" s="13"/>
      <c r="H88" s="14">
        <f t="shared" si="4"/>
      </c>
    </row>
    <row r="89" spans="1:8" ht="13.5">
      <c r="A89" s="15"/>
      <c r="B89" s="10"/>
      <c r="C89" s="22" t="s">
        <v>33</v>
      </c>
      <c r="D89" s="11"/>
      <c r="E89" s="12"/>
      <c r="F89" s="13"/>
      <c r="G89" s="13"/>
      <c r="H89" s="14">
        <f t="shared" si="4"/>
      </c>
    </row>
    <row r="90" spans="1:8" ht="13.5">
      <c r="A90" s="15"/>
      <c r="B90" s="10"/>
      <c r="C90" s="22" t="s">
        <v>33</v>
      </c>
      <c r="D90" s="11"/>
      <c r="E90" s="12"/>
      <c r="F90" s="13"/>
      <c r="G90" s="13"/>
      <c r="H90" s="14">
        <f t="shared" si="4"/>
      </c>
    </row>
    <row r="91" spans="1:8" ht="14.25" thickBot="1">
      <c r="A91" s="15"/>
      <c r="B91" s="10"/>
      <c r="C91" s="22" t="s">
        <v>33</v>
      </c>
      <c r="D91" s="11"/>
      <c r="E91" s="12"/>
      <c r="F91" s="13"/>
      <c r="G91" s="13"/>
      <c r="H91" s="14">
        <f t="shared" si="4"/>
      </c>
    </row>
    <row r="92" spans="1:8" ht="14.25" thickBot="1">
      <c r="A92" s="15"/>
      <c r="B92" s="17"/>
      <c r="C92" s="18"/>
      <c r="D92" s="18"/>
      <c r="E92" s="19" t="s">
        <v>8</v>
      </c>
      <c r="F92" s="20"/>
      <c r="G92" s="20"/>
      <c r="H92" s="21">
        <f>IF(AND(SUM(F5:F91)=0,SUM(G5:G91)=0),"",SUM(F5:F91)-SUM(G5:G91)+H4)</f>
      </c>
    </row>
  </sheetData>
  <sheetProtection/>
  <mergeCells count="1">
    <mergeCell ref="B1:C1"/>
  </mergeCells>
  <dataValidations count="3">
    <dataValidation type="list" allowBlank="1" showInputMessage="1" showErrorMessage="1" sqref="C6:C91">
      <formula1>$J$3:$J$29</formula1>
    </dataValidation>
    <dataValidation type="list" allowBlank="1" showInputMessage="1" showErrorMessage="1" sqref="C5">
      <formula1>$J$3:$J$32</formula1>
    </dataValidation>
    <dataValidation type="list" allowBlank="1" showInputMessage="1" showErrorMessage="1" sqref="D5:D91">
      <formula1>$J$37:$J$46</formula1>
    </dataValidation>
  </dataValidations>
  <printOptions/>
  <pageMargins left="0.75" right="0.75" top="1" bottom="1" header="0.512" footer="0.512"/>
  <pageSetup orientation="portrait" paperSize="9"/>
  <ignoredErrors>
    <ignoredError sqref="K5" formula="1"/>
  </ignoredErrors>
  <legacyDrawing r:id="rId2"/>
</worksheet>
</file>

<file path=xl/worksheets/sheet7.xml><?xml version="1.0" encoding="utf-8"?>
<worksheet xmlns="http://schemas.openxmlformats.org/spreadsheetml/2006/main" xmlns:r="http://schemas.openxmlformats.org/officeDocument/2006/relationships">
  <dimension ref="A1:Q92"/>
  <sheetViews>
    <sheetView zoomScalePageLayoutView="0" workbookViewId="0" topLeftCell="A1">
      <selection activeCell="J24" sqref="J24"/>
    </sheetView>
  </sheetViews>
  <sheetFormatPr defaultColWidth="9.00390625" defaultRowHeight="13.5"/>
  <cols>
    <col min="3" max="3" width="10.875" style="0" customWidth="1"/>
    <col min="4" max="4" width="18.125" style="0" customWidth="1"/>
    <col min="5" max="5" width="22.25390625" style="0" customWidth="1"/>
    <col min="6" max="7" width="11.875" style="0" customWidth="1"/>
    <col min="8" max="8" width="13.125" style="0" customWidth="1"/>
    <col min="10" max="10" width="12.75390625" style="0" bestFit="1" customWidth="1"/>
    <col min="14" max="14" width="5.25390625" style="0" bestFit="1" customWidth="1"/>
  </cols>
  <sheetData>
    <row r="1" spans="1:11" ht="23.25">
      <c r="A1" s="1"/>
      <c r="B1" s="38" t="s">
        <v>9</v>
      </c>
      <c r="C1" s="39"/>
      <c r="D1" s="2"/>
      <c r="E1" s="2"/>
      <c r="F1" s="2"/>
      <c r="G1" s="2"/>
      <c r="H1" s="2"/>
      <c r="K1" s="3"/>
    </row>
    <row r="2" spans="1:11" ht="15" thickBot="1">
      <c r="A2" s="1"/>
      <c r="B2" s="1"/>
      <c r="C2" s="1"/>
      <c r="D2" s="1"/>
      <c r="E2" s="1"/>
      <c r="F2" s="1"/>
      <c r="G2" s="1"/>
      <c r="H2" s="4" t="s">
        <v>48</v>
      </c>
      <c r="K2" s="3"/>
    </row>
    <row r="3" spans="1:17" ht="15" thickBot="1">
      <c r="A3" s="1"/>
      <c r="B3" s="5" t="s">
        <v>1</v>
      </c>
      <c r="C3" s="6" t="s">
        <v>2</v>
      </c>
      <c r="D3" s="7" t="s">
        <v>3</v>
      </c>
      <c r="E3" s="8" t="s">
        <v>4</v>
      </c>
      <c r="F3" s="6" t="s">
        <v>5</v>
      </c>
      <c r="G3" s="6" t="s">
        <v>6</v>
      </c>
      <c r="H3" s="9" t="s">
        <v>7</v>
      </c>
      <c r="J3" s="27" t="str">
        <f>IF('１月'!J3="","",'１月'!J3)</f>
        <v>売上</v>
      </c>
      <c r="K3" s="28">
        <f>SUMIF($C$5:$C$91,J3,$F$5:$F$91)</f>
        <v>0</v>
      </c>
      <c r="M3" s="29" t="s">
        <v>36</v>
      </c>
      <c r="N3" s="29" t="s">
        <v>37</v>
      </c>
      <c r="O3" s="30" t="s">
        <v>38</v>
      </c>
      <c r="P3" s="30" t="s">
        <v>39</v>
      </c>
      <c r="Q3" s="27"/>
    </row>
    <row r="4" spans="1:17" ht="14.25">
      <c r="A4" s="1"/>
      <c r="B4" s="10"/>
      <c r="C4" s="22" t="s">
        <v>33</v>
      </c>
      <c r="D4" s="11"/>
      <c r="E4" s="12" t="s">
        <v>35</v>
      </c>
      <c r="F4" s="13"/>
      <c r="G4" s="13"/>
      <c r="H4" s="14">
        <f>'６月'!H92</f>
      </c>
      <c r="J4" s="27" t="str">
        <f>IF('１月'!J4="","",'１月'!J4)</f>
        <v>仕入</v>
      </c>
      <c r="K4" s="28">
        <f>SUMIF($C$5:$C$91,J4,$G$5:$G$91)</f>
        <v>0</v>
      </c>
      <c r="M4" s="31">
        <v>40725</v>
      </c>
      <c r="N4" s="42" t="s">
        <v>82</v>
      </c>
      <c r="O4" s="28">
        <f>SUMIF($B$5:$B$91,"7月1日",$F$5:$F$91)</f>
        <v>0</v>
      </c>
      <c r="P4" s="28">
        <f>SUMIF($B$5:$B$91,"7月1日",$G$5:$G$91)</f>
        <v>0</v>
      </c>
      <c r="Q4" s="32">
        <f>O4-P4</f>
        <v>0</v>
      </c>
    </row>
    <row r="5" spans="1:17" ht="14.25">
      <c r="A5" s="1"/>
      <c r="B5" s="10"/>
      <c r="C5" s="22" t="s">
        <v>33</v>
      </c>
      <c r="D5" s="11"/>
      <c r="E5" s="12"/>
      <c r="F5" s="13"/>
      <c r="G5" s="13"/>
      <c r="H5" s="14">
        <f>IF(OR(H4="",AND(F5="",G5="")),"",H4+F5-G5)</f>
      </c>
      <c r="J5" s="27" t="str">
        <f>IF('１月'!J5="","",'１月'!J5)</f>
        <v>製造原価</v>
      </c>
      <c r="K5" s="28">
        <f>K3-K4</f>
        <v>0</v>
      </c>
      <c r="M5" s="31">
        <v>40726</v>
      </c>
      <c r="N5" s="42" t="s">
        <v>72</v>
      </c>
      <c r="O5" s="28">
        <f>SUMIF($B$5:$B$91,"7月2日",$F$5:$F$91)</f>
        <v>0</v>
      </c>
      <c r="P5" s="28">
        <f>SUMIF($B$5:$B$91,"7月2日",$G$5:$G$91)</f>
        <v>0</v>
      </c>
      <c r="Q5" s="32">
        <f aca="true" t="shared" si="0" ref="Q5:Q35">O5-P5</f>
        <v>0</v>
      </c>
    </row>
    <row r="6" spans="1:17" ht="14.25">
      <c r="A6" s="1"/>
      <c r="B6" s="10"/>
      <c r="C6" s="22" t="s">
        <v>33</v>
      </c>
      <c r="D6" s="11"/>
      <c r="E6" s="12"/>
      <c r="F6" s="13"/>
      <c r="G6" s="13"/>
      <c r="H6" s="14">
        <f aca="true" t="shared" si="1" ref="H6:H69">IF(OR(H5="",AND(F6="",G6="")),"",H5+F6-G6)</f>
      </c>
      <c r="J6" s="27" t="str">
        <f>IF('１月'!J6="","",'１月'!J6)</f>
        <v>租税公課</v>
      </c>
      <c r="K6" s="28">
        <f>SUMIF($C$5:$C$91,J6,$G$5:$G$91)</f>
        <v>0</v>
      </c>
      <c r="M6" s="31">
        <v>40727</v>
      </c>
      <c r="N6" s="42" t="s">
        <v>66</v>
      </c>
      <c r="O6" s="28">
        <f>SUMIF($B$5:$B$91,"7月3日",$F$5:$F$91)</f>
        <v>0</v>
      </c>
      <c r="P6" s="28">
        <f>SUMIF($B$5:$B$91,"7月3日",$G$5:$G$91)</f>
        <v>0</v>
      </c>
      <c r="Q6" s="32">
        <f t="shared" si="0"/>
        <v>0</v>
      </c>
    </row>
    <row r="7" spans="1:17" ht="14.25">
      <c r="A7" s="1"/>
      <c r="B7" s="10"/>
      <c r="C7" s="22" t="s">
        <v>33</v>
      </c>
      <c r="D7" s="11"/>
      <c r="E7" s="12"/>
      <c r="F7" s="13"/>
      <c r="G7" s="13"/>
      <c r="H7" s="14">
        <f t="shared" si="1"/>
      </c>
      <c r="J7" s="27" t="str">
        <f>IF('１月'!J7="","",'１月'!J7)</f>
        <v>荷造運賃</v>
      </c>
      <c r="K7" s="28">
        <f aca="true" t="shared" si="2" ref="K7:K28">SUMIF($C$5:$C$91,J7,$G$5:$G$91)</f>
        <v>0</v>
      </c>
      <c r="M7" s="31">
        <v>40728</v>
      </c>
      <c r="N7" s="42" t="s">
        <v>67</v>
      </c>
      <c r="O7" s="28">
        <f>SUMIF($B$5:$B$91,"7月4日",$F$5:$F$91)</f>
        <v>0</v>
      </c>
      <c r="P7" s="28">
        <f>SUMIF($B$5:$B$91,"7月4日",$G$5:$G$91)</f>
        <v>0</v>
      </c>
      <c r="Q7" s="32">
        <f t="shared" si="0"/>
        <v>0</v>
      </c>
    </row>
    <row r="8" spans="1:17" ht="14.25">
      <c r="A8" s="1"/>
      <c r="B8" s="10"/>
      <c r="C8" s="22" t="s">
        <v>33</v>
      </c>
      <c r="D8" s="11"/>
      <c r="E8" s="12"/>
      <c r="F8" s="13"/>
      <c r="G8" s="13"/>
      <c r="H8" s="14">
        <f t="shared" si="1"/>
      </c>
      <c r="J8" s="27" t="str">
        <f>IF('１月'!J8="","",'１月'!J8)</f>
        <v>水道光熱費</v>
      </c>
      <c r="K8" s="28">
        <f t="shared" si="2"/>
        <v>0</v>
      </c>
      <c r="M8" s="31">
        <v>40729</v>
      </c>
      <c r="N8" s="42" t="s">
        <v>68</v>
      </c>
      <c r="O8" s="28">
        <f>SUMIF($B$5:$B$91,"7月5日",$F$5:$F$91)</f>
        <v>0</v>
      </c>
      <c r="P8" s="28">
        <f>SUMIF($B$5:$B$91,"7月5日",$G$5:$G$91)</f>
        <v>0</v>
      </c>
      <c r="Q8" s="32">
        <f t="shared" si="0"/>
        <v>0</v>
      </c>
    </row>
    <row r="9" spans="1:17" ht="14.25">
      <c r="A9" s="1"/>
      <c r="B9" s="10"/>
      <c r="C9" s="22" t="s">
        <v>33</v>
      </c>
      <c r="D9" s="11"/>
      <c r="E9" s="12"/>
      <c r="F9" s="13"/>
      <c r="G9" s="13"/>
      <c r="H9" s="14">
        <f t="shared" si="1"/>
      </c>
      <c r="J9" s="27" t="str">
        <f>IF('１月'!J9="","",'１月'!J9)</f>
        <v>旅費交通費</v>
      </c>
      <c r="K9" s="28">
        <f t="shared" si="2"/>
        <v>0</v>
      </c>
      <c r="M9" s="31">
        <v>40730</v>
      </c>
      <c r="N9" s="42" t="s">
        <v>69</v>
      </c>
      <c r="O9" s="28">
        <f>SUMIF($B$5:$B$91,"7月6日",$F$5:$F$91)</f>
        <v>0</v>
      </c>
      <c r="P9" s="28">
        <f>SUMIF($B$5:$B$91,"7月6日",$G$5:$G$91)</f>
        <v>0</v>
      </c>
      <c r="Q9" s="32">
        <f t="shared" si="0"/>
        <v>0</v>
      </c>
    </row>
    <row r="10" spans="1:17" ht="14.25">
      <c r="A10" s="15"/>
      <c r="B10" s="10"/>
      <c r="C10" s="22" t="s">
        <v>33</v>
      </c>
      <c r="D10" s="11"/>
      <c r="E10" s="12"/>
      <c r="F10" s="13"/>
      <c r="G10" s="13"/>
      <c r="H10" s="14">
        <f t="shared" si="1"/>
      </c>
      <c r="J10" s="27" t="str">
        <f>IF('１月'!J10="","",'１月'!J10)</f>
        <v>通信費</v>
      </c>
      <c r="K10" s="28">
        <f t="shared" si="2"/>
        <v>0</v>
      </c>
      <c r="M10" s="31">
        <v>40731</v>
      </c>
      <c r="N10" s="42" t="s">
        <v>70</v>
      </c>
      <c r="O10" s="28">
        <f>SUMIF($B$5:$B$91,"6月7日",$F$5:$F$91)</f>
        <v>0</v>
      </c>
      <c r="P10" s="28">
        <f>SUMIF($B$5:$B$91,"7月7日",$G$5:$G$91)</f>
        <v>0</v>
      </c>
      <c r="Q10" s="32">
        <f t="shared" si="0"/>
        <v>0</v>
      </c>
    </row>
    <row r="11" spans="1:17" ht="14.25">
      <c r="A11" s="15"/>
      <c r="B11" s="10"/>
      <c r="C11" s="22" t="s">
        <v>33</v>
      </c>
      <c r="D11" s="11"/>
      <c r="E11" s="12"/>
      <c r="F11" s="13"/>
      <c r="G11" s="13"/>
      <c r="H11" s="14">
        <f t="shared" si="1"/>
      </c>
      <c r="J11" s="27" t="str">
        <f>IF('１月'!J11="","",'１月'!J11)</f>
        <v>広告宣伝費</v>
      </c>
      <c r="K11" s="28">
        <f t="shared" si="2"/>
        <v>0</v>
      </c>
      <c r="M11" s="31">
        <v>40732</v>
      </c>
      <c r="N11" s="42" t="s">
        <v>71</v>
      </c>
      <c r="O11" s="28">
        <f>SUMIF($B$5:$B$91,"7月8日",$F$5:$F$91)</f>
        <v>0</v>
      </c>
      <c r="P11" s="28">
        <f>SUMIF($B$5:$B$91,"7月8日",$G$5:$G$91)</f>
        <v>0</v>
      </c>
      <c r="Q11" s="32">
        <f t="shared" si="0"/>
        <v>0</v>
      </c>
    </row>
    <row r="12" spans="1:17" ht="14.25">
      <c r="A12" s="15"/>
      <c r="B12" s="10"/>
      <c r="C12" s="22" t="s">
        <v>33</v>
      </c>
      <c r="D12" s="11"/>
      <c r="E12" s="12"/>
      <c r="F12" s="13"/>
      <c r="G12" s="13"/>
      <c r="H12" s="14">
        <f t="shared" si="1"/>
      </c>
      <c r="J12" s="27" t="str">
        <f>IF('１月'!J12="","",'１月'!J12)</f>
        <v>接待交際費</v>
      </c>
      <c r="K12" s="28">
        <f t="shared" si="2"/>
        <v>0</v>
      </c>
      <c r="M12" s="31">
        <v>40733</v>
      </c>
      <c r="N12" s="42" t="s">
        <v>72</v>
      </c>
      <c r="O12" s="28">
        <f>SUMIF($B$5:$B$91,"7月9日",$F$5:$F$91)</f>
        <v>0</v>
      </c>
      <c r="P12" s="28">
        <f>SUMIF($B$5:$B$91,"7月9日",$G$5:$G$91)</f>
        <v>0</v>
      </c>
      <c r="Q12" s="32">
        <f t="shared" si="0"/>
        <v>0</v>
      </c>
    </row>
    <row r="13" spans="1:17" ht="14.25">
      <c r="A13" s="15"/>
      <c r="B13" s="10"/>
      <c r="C13" s="22" t="s">
        <v>33</v>
      </c>
      <c r="D13" s="11"/>
      <c r="E13" s="12"/>
      <c r="F13" s="13"/>
      <c r="G13" s="13"/>
      <c r="H13" s="14">
        <f t="shared" si="1"/>
      </c>
      <c r="J13" s="27" t="str">
        <f>IF('１月'!J13="","",'１月'!J13)</f>
        <v>損害保険料</v>
      </c>
      <c r="K13" s="28">
        <f t="shared" si="2"/>
        <v>0</v>
      </c>
      <c r="M13" s="31">
        <v>40734</v>
      </c>
      <c r="N13" s="42" t="s">
        <v>66</v>
      </c>
      <c r="O13" s="28">
        <f>SUMIF($B$5:$B$91,"7月10日",$F$5:$F$91)</f>
        <v>0</v>
      </c>
      <c r="P13" s="28">
        <f>SUMIF($B$5:$B$91,"7月10日",$G$5:$G$91)</f>
        <v>0</v>
      </c>
      <c r="Q13" s="32">
        <f t="shared" si="0"/>
        <v>0</v>
      </c>
    </row>
    <row r="14" spans="1:17" ht="14.25">
      <c r="A14" s="15"/>
      <c r="B14" s="10"/>
      <c r="C14" s="22" t="s">
        <v>33</v>
      </c>
      <c r="D14" s="11"/>
      <c r="E14" s="12"/>
      <c r="F14" s="13"/>
      <c r="G14" s="13"/>
      <c r="H14" s="14">
        <f t="shared" si="1"/>
      </c>
      <c r="J14" s="27" t="str">
        <f>IF('１月'!J14="","",'１月'!J14)</f>
        <v>修繕費</v>
      </c>
      <c r="K14" s="28">
        <f t="shared" si="2"/>
        <v>0</v>
      </c>
      <c r="M14" s="31">
        <v>40735</v>
      </c>
      <c r="N14" s="42" t="s">
        <v>67</v>
      </c>
      <c r="O14" s="28">
        <f>SUMIF($B$5:$B$91,"7月11日",$F$5:$F$91)</f>
        <v>0</v>
      </c>
      <c r="P14" s="28">
        <f>SUMIF($B$5:$B$91,"7月11日",$G$5:$G$91)</f>
        <v>0</v>
      </c>
      <c r="Q14" s="32">
        <f t="shared" si="0"/>
        <v>0</v>
      </c>
    </row>
    <row r="15" spans="1:17" ht="14.25">
      <c r="A15" s="15"/>
      <c r="B15" s="10"/>
      <c r="C15" s="22" t="s">
        <v>33</v>
      </c>
      <c r="D15" s="11"/>
      <c r="E15" s="16"/>
      <c r="F15" s="13"/>
      <c r="G15" s="13"/>
      <c r="H15" s="14">
        <f t="shared" si="1"/>
      </c>
      <c r="J15" s="27" t="str">
        <f>IF('１月'!J15="","",'１月'!J15)</f>
        <v>消耗品費</v>
      </c>
      <c r="K15" s="28">
        <f t="shared" si="2"/>
        <v>0</v>
      </c>
      <c r="M15" s="31">
        <v>40736</v>
      </c>
      <c r="N15" s="42" t="s">
        <v>68</v>
      </c>
      <c r="O15" s="28">
        <f>SUMIF($B$5:$B$91,"7月12日",$F$5:$F$91)</f>
        <v>0</v>
      </c>
      <c r="P15" s="28">
        <f>SUMIF($B$5:$B$91,"7月12日",$G$5:$G$91)</f>
        <v>0</v>
      </c>
      <c r="Q15" s="32">
        <f t="shared" si="0"/>
        <v>0</v>
      </c>
    </row>
    <row r="16" spans="1:17" ht="14.25">
      <c r="A16" s="15"/>
      <c r="B16" s="10"/>
      <c r="C16" s="22" t="s">
        <v>33</v>
      </c>
      <c r="D16" s="11"/>
      <c r="E16" s="12"/>
      <c r="F16" s="13"/>
      <c r="G16" s="13"/>
      <c r="H16" s="14">
        <f t="shared" si="1"/>
      </c>
      <c r="J16" s="27" t="str">
        <f>IF('１月'!J16="","",'１月'!J16)</f>
        <v>福利厚生費</v>
      </c>
      <c r="K16" s="28">
        <f t="shared" si="2"/>
        <v>0</v>
      </c>
      <c r="M16" s="31">
        <v>40737</v>
      </c>
      <c r="N16" s="42" t="s">
        <v>69</v>
      </c>
      <c r="O16" s="28">
        <f>SUMIF($B$5:$B$91,"7月13日",$F$5:$F$91)</f>
        <v>0</v>
      </c>
      <c r="P16" s="28">
        <f>SUMIF($B$5:$B$91,"7月13日",$G$5:$G$91)</f>
        <v>0</v>
      </c>
      <c r="Q16" s="32">
        <f t="shared" si="0"/>
        <v>0</v>
      </c>
    </row>
    <row r="17" spans="1:17" ht="14.25">
      <c r="A17" s="15"/>
      <c r="B17" s="10"/>
      <c r="C17" s="22" t="s">
        <v>33</v>
      </c>
      <c r="D17" s="11"/>
      <c r="E17" s="12"/>
      <c r="F17" s="13"/>
      <c r="G17" s="13"/>
      <c r="H17" s="14">
        <f t="shared" si="1"/>
      </c>
      <c r="J17" s="27" t="str">
        <f>IF('１月'!J17="","",'１月'!J17)</f>
        <v>給与賃金</v>
      </c>
      <c r="K17" s="28">
        <f t="shared" si="2"/>
        <v>0</v>
      </c>
      <c r="M17" s="31">
        <v>40738</v>
      </c>
      <c r="N17" s="42" t="s">
        <v>70</v>
      </c>
      <c r="O17" s="28">
        <f>SUMIF($B$5:$B$91,"7月14日",$F$5:$F$91)</f>
        <v>0</v>
      </c>
      <c r="P17" s="28">
        <f>SUMIF($B$5:$B$91,"7月14日",$G$5:$G$91)</f>
        <v>0</v>
      </c>
      <c r="Q17" s="32">
        <f t="shared" si="0"/>
        <v>0</v>
      </c>
    </row>
    <row r="18" spans="1:17" ht="14.25">
      <c r="A18" s="15"/>
      <c r="B18" s="10"/>
      <c r="C18" s="22" t="s">
        <v>33</v>
      </c>
      <c r="D18" s="11"/>
      <c r="E18" s="12"/>
      <c r="F18" s="13"/>
      <c r="G18" s="13"/>
      <c r="H18" s="14">
        <f t="shared" si="1"/>
      </c>
      <c r="J18" s="27" t="str">
        <f>IF('１月'!J18="","",'１月'!J18)</f>
        <v>利子割引料</v>
      </c>
      <c r="K18" s="28">
        <f t="shared" si="2"/>
        <v>0</v>
      </c>
      <c r="M18" s="31">
        <v>40739</v>
      </c>
      <c r="N18" s="42" t="s">
        <v>71</v>
      </c>
      <c r="O18" s="28">
        <f>SUMIF($B$5:$B$91,"7月15日",$F$5:$F$91)</f>
        <v>0</v>
      </c>
      <c r="P18" s="28">
        <f>SUMIF($B$5:$B$91,"7月15日",$G$5:$G$91)</f>
        <v>0</v>
      </c>
      <c r="Q18" s="32">
        <f t="shared" si="0"/>
        <v>0</v>
      </c>
    </row>
    <row r="19" spans="1:17" ht="14.25">
      <c r="A19" s="15"/>
      <c r="B19" s="10"/>
      <c r="C19" s="22" t="s">
        <v>33</v>
      </c>
      <c r="D19" s="11"/>
      <c r="E19" s="12"/>
      <c r="F19" s="13"/>
      <c r="G19" s="13"/>
      <c r="H19" s="14">
        <f t="shared" si="1"/>
      </c>
      <c r="J19" s="27" t="str">
        <f>IF('１月'!J19="","",'１月'!J19)</f>
        <v>地代家賃</v>
      </c>
      <c r="K19" s="28">
        <f t="shared" si="2"/>
        <v>0</v>
      </c>
      <c r="M19" s="31">
        <v>40740</v>
      </c>
      <c r="N19" s="42" t="s">
        <v>72</v>
      </c>
      <c r="O19" s="28">
        <f>SUMIF($B$5:$B$91,"7月16日",$F$5:$F$91)</f>
        <v>0</v>
      </c>
      <c r="P19" s="28">
        <f>SUMIF($B$5:$B$91,"7月16日",$G$5:$G$91)</f>
        <v>0</v>
      </c>
      <c r="Q19" s="32">
        <f t="shared" si="0"/>
        <v>0</v>
      </c>
    </row>
    <row r="20" spans="1:17" ht="14.25">
      <c r="A20" s="15"/>
      <c r="B20" s="10"/>
      <c r="C20" s="22" t="s">
        <v>33</v>
      </c>
      <c r="D20" s="11"/>
      <c r="E20" s="12"/>
      <c r="F20" s="13"/>
      <c r="G20" s="13"/>
      <c r="H20" s="14">
        <f t="shared" si="1"/>
      </c>
      <c r="J20" s="27" t="str">
        <f>IF('１月'!J20="","",'１月'!J20)</f>
        <v>貸倒金</v>
      </c>
      <c r="K20" s="28">
        <f t="shared" si="2"/>
        <v>0</v>
      </c>
      <c r="M20" s="31">
        <v>40741</v>
      </c>
      <c r="N20" s="42" t="s">
        <v>66</v>
      </c>
      <c r="O20" s="28">
        <f>SUMIF($B$5:$B$91,"7月17日",$F$5:$F$91)</f>
        <v>0</v>
      </c>
      <c r="P20" s="28">
        <f>SUMIF($B$5:$B$91,"7月17日",$G$5:$G$91)</f>
        <v>0</v>
      </c>
      <c r="Q20" s="32">
        <f t="shared" si="0"/>
        <v>0</v>
      </c>
    </row>
    <row r="21" spans="1:17" ht="14.25">
      <c r="A21" s="15"/>
      <c r="B21" s="10"/>
      <c r="C21" s="22" t="s">
        <v>33</v>
      </c>
      <c r="D21" s="11"/>
      <c r="E21" s="16"/>
      <c r="F21" s="13"/>
      <c r="G21" s="13"/>
      <c r="H21" s="14">
        <f t="shared" si="1"/>
      </c>
      <c r="J21" s="27" t="str">
        <f>IF('１月'!J21="","",'１月'!J21)</f>
        <v>専従者給与</v>
      </c>
      <c r="K21" s="28">
        <f t="shared" si="2"/>
        <v>0</v>
      </c>
      <c r="M21" s="31">
        <v>40742</v>
      </c>
      <c r="N21" s="42" t="s">
        <v>67</v>
      </c>
      <c r="O21" s="28">
        <f>SUMIF($B$5:$B$91,"7月18日",$F$5:$F$91)</f>
        <v>0</v>
      </c>
      <c r="P21" s="28">
        <f>SUMIF($B$5:$B$91,"7月18日",$G$5:$G$91)</f>
        <v>0</v>
      </c>
      <c r="Q21" s="32">
        <f t="shared" si="0"/>
        <v>0</v>
      </c>
    </row>
    <row r="22" spans="1:17" ht="14.25">
      <c r="A22" s="15"/>
      <c r="B22" s="10"/>
      <c r="C22" s="22" t="s">
        <v>33</v>
      </c>
      <c r="D22" s="11"/>
      <c r="E22" s="12"/>
      <c r="F22" s="13"/>
      <c r="G22" s="13"/>
      <c r="H22" s="14">
        <f t="shared" si="1"/>
      </c>
      <c r="J22" s="27" t="str">
        <f>IF('１月'!J22="","",'１月'!J22)</f>
        <v>リース料</v>
      </c>
      <c r="K22" s="28">
        <f t="shared" si="2"/>
        <v>0</v>
      </c>
      <c r="M22" s="31">
        <v>40743</v>
      </c>
      <c r="N22" s="42" t="s">
        <v>68</v>
      </c>
      <c r="O22" s="28">
        <f>SUMIF($B$5:$B$91,"7月19日",$F$5:$F$91)</f>
        <v>0</v>
      </c>
      <c r="P22" s="28">
        <f>SUMIF($B$5:$B$91,"7月19日",$G$5:$G$91)</f>
        <v>0</v>
      </c>
      <c r="Q22" s="32">
        <f t="shared" si="0"/>
        <v>0</v>
      </c>
    </row>
    <row r="23" spans="1:17" ht="14.25">
      <c r="A23" s="15"/>
      <c r="B23" s="10"/>
      <c r="C23" s="22" t="s">
        <v>33</v>
      </c>
      <c r="D23" s="11"/>
      <c r="E23" s="12"/>
      <c r="F23" s="13"/>
      <c r="G23" s="13"/>
      <c r="H23" s="14">
        <f t="shared" si="1"/>
      </c>
      <c r="J23" s="27" t="str">
        <f>IF('１月'!J23="","",'１月'!J23)</f>
        <v>外注費</v>
      </c>
      <c r="K23" s="28">
        <f t="shared" si="2"/>
        <v>0</v>
      </c>
      <c r="M23" s="31">
        <v>40744</v>
      </c>
      <c r="N23" s="42" t="s">
        <v>69</v>
      </c>
      <c r="O23" s="28">
        <f>SUMIF($B$5:$B$91,"7月20日",$F$5:$F$91)</f>
        <v>0</v>
      </c>
      <c r="P23" s="28">
        <f>SUMIF($B$5:$B$91,"7月20日",$G$5:$G$91)</f>
        <v>0</v>
      </c>
      <c r="Q23" s="32">
        <f t="shared" si="0"/>
        <v>0</v>
      </c>
    </row>
    <row r="24" spans="1:17" ht="14.25">
      <c r="A24" s="15"/>
      <c r="B24" s="10"/>
      <c r="C24" s="22" t="s">
        <v>33</v>
      </c>
      <c r="D24" s="11"/>
      <c r="E24" s="12"/>
      <c r="F24" s="13"/>
      <c r="G24" s="13"/>
      <c r="H24" s="14">
        <f t="shared" si="1"/>
      </c>
      <c r="J24" s="27">
        <f>IF('１月'!J24="","",'１月'!J24)</f>
      </c>
      <c r="K24" s="28">
        <f t="shared" si="2"/>
        <v>0</v>
      </c>
      <c r="M24" s="31">
        <v>40745</v>
      </c>
      <c r="N24" s="42" t="s">
        <v>70</v>
      </c>
      <c r="O24" s="28">
        <f>SUMIF($B$5:$B$91,"7月21日",$F$5:$F$91)</f>
        <v>0</v>
      </c>
      <c r="P24" s="28">
        <f>SUMIF($B$5:$B$91,"7月21日",$G$5:$G$91)</f>
        <v>0</v>
      </c>
      <c r="Q24" s="32">
        <f t="shared" si="0"/>
        <v>0</v>
      </c>
    </row>
    <row r="25" spans="1:17" ht="14.25">
      <c r="A25" s="15"/>
      <c r="B25" s="10"/>
      <c r="C25" s="22" t="s">
        <v>33</v>
      </c>
      <c r="D25" s="11"/>
      <c r="E25" s="12"/>
      <c r="F25" s="13"/>
      <c r="G25" s="13"/>
      <c r="H25" s="14">
        <f t="shared" si="1"/>
      </c>
      <c r="J25" s="27" t="str">
        <f>IF('１月'!J25="","",'１月'!J25)</f>
        <v>　</v>
      </c>
      <c r="K25" s="28">
        <f t="shared" si="2"/>
        <v>0</v>
      </c>
      <c r="M25" s="31">
        <v>40746</v>
      </c>
      <c r="N25" s="42" t="s">
        <v>71</v>
      </c>
      <c r="O25" s="28">
        <f>SUMIF($B$5:$B$91,"7月22日",$F$5:$F$91)</f>
        <v>0</v>
      </c>
      <c r="P25" s="28">
        <f>SUMIF($B$5:$B$91,"7月22日",$G$5:$G$91)</f>
        <v>0</v>
      </c>
      <c r="Q25" s="32">
        <f t="shared" si="0"/>
        <v>0</v>
      </c>
    </row>
    <row r="26" spans="1:17" ht="14.25">
      <c r="A26" s="15"/>
      <c r="B26" s="10"/>
      <c r="C26" s="22" t="s">
        <v>33</v>
      </c>
      <c r="D26" s="11"/>
      <c r="E26" s="12"/>
      <c r="F26" s="13"/>
      <c r="G26" s="13"/>
      <c r="H26" s="14">
        <f t="shared" si="1"/>
      </c>
      <c r="J26" s="27">
        <f>IF('１月'!J26="","",'１月'!J26)</f>
      </c>
      <c r="K26" s="28">
        <f t="shared" si="2"/>
        <v>0</v>
      </c>
      <c r="M26" s="31">
        <v>40747</v>
      </c>
      <c r="N26" s="42" t="s">
        <v>72</v>
      </c>
      <c r="O26" s="28">
        <f>SUMIF($B$5:$B$91,"7月23日",$F$5:$F$91)</f>
        <v>0</v>
      </c>
      <c r="P26" s="28">
        <f>SUMIF($B$5:$B$91,"7月23日",$G$5:$G$91)</f>
        <v>0</v>
      </c>
      <c r="Q26" s="32">
        <f t="shared" si="0"/>
        <v>0</v>
      </c>
    </row>
    <row r="27" spans="1:17" ht="14.25">
      <c r="A27" s="15"/>
      <c r="B27" s="10"/>
      <c r="C27" s="22" t="s">
        <v>33</v>
      </c>
      <c r="D27" s="11"/>
      <c r="E27" s="12"/>
      <c r="F27" s="13"/>
      <c r="G27" s="13"/>
      <c r="H27" s="14">
        <f t="shared" si="1"/>
      </c>
      <c r="J27" s="27">
        <f>IF('１月'!J27="","",'１月'!J27)</f>
      </c>
      <c r="K27" s="28">
        <f t="shared" si="2"/>
        <v>0</v>
      </c>
      <c r="M27" s="31">
        <v>40748</v>
      </c>
      <c r="N27" s="42" t="s">
        <v>66</v>
      </c>
      <c r="O27" s="28">
        <f>SUMIF($B$5:$B$91,"7月24日",$F$5:$F$91)</f>
        <v>0</v>
      </c>
      <c r="P27" s="28">
        <f>SUMIF($B$5:$B$91,"7月24日",$G$5:$G$91)</f>
        <v>0</v>
      </c>
      <c r="Q27" s="32">
        <f t="shared" si="0"/>
        <v>0</v>
      </c>
    </row>
    <row r="28" spans="1:17" ht="14.25">
      <c r="A28" s="15"/>
      <c r="B28" s="10"/>
      <c r="C28" s="22" t="s">
        <v>33</v>
      </c>
      <c r="D28" s="11"/>
      <c r="E28" s="12"/>
      <c r="F28" s="13"/>
      <c r="G28" s="13"/>
      <c r="H28" s="14">
        <f t="shared" si="1"/>
      </c>
      <c r="J28" s="27" t="str">
        <f>IF('１月'!J28="","",'１月'!J28)</f>
        <v>雑費</v>
      </c>
      <c r="K28" s="28">
        <f t="shared" si="2"/>
        <v>0</v>
      </c>
      <c r="M28" s="31">
        <v>40749</v>
      </c>
      <c r="N28" s="42" t="s">
        <v>67</v>
      </c>
      <c r="O28" s="28">
        <f>SUMIF($B$5:$B$91,"7月25日",$F$5:$F$91)</f>
        <v>0</v>
      </c>
      <c r="P28" s="28">
        <f>SUMIF($B$5:$B$91,"7月25日",$G$5:$G$91)</f>
        <v>0</v>
      </c>
      <c r="Q28" s="32">
        <f t="shared" si="0"/>
        <v>0</v>
      </c>
    </row>
    <row r="29" spans="1:17" ht="14.25">
      <c r="A29" s="15"/>
      <c r="B29" s="10"/>
      <c r="C29" s="22" t="s">
        <v>33</v>
      </c>
      <c r="D29" s="11"/>
      <c r="E29" s="12"/>
      <c r="F29" s="13"/>
      <c r="G29" s="13"/>
      <c r="H29" s="14">
        <f t="shared" si="1"/>
      </c>
      <c r="J29" s="27" t="str">
        <f>IF('１月'!J29="","",'１月'!J29)</f>
        <v>経費合計</v>
      </c>
      <c r="K29" s="28">
        <f>SUM(K6:K28)</f>
        <v>0</v>
      </c>
      <c r="M29" s="31">
        <v>40750</v>
      </c>
      <c r="N29" s="42" t="s">
        <v>68</v>
      </c>
      <c r="O29" s="28">
        <f>SUMIF($B$5:$B$91,"7月26日",$F$5:$F$91)</f>
        <v>0</v>
      </c>
      <c r="P29" s="28">
        <f>SUMIF($B$5:$B$91,"7月26日",$G$5:$G$91)</f>
        <v>0</v>
      </c>
      <c r="Q29" s="32">
        <f t="shared" si="0"/>
        <v>0</v>
      </c>
    </row>
    <row r="30" spans="1:17" ht="14.25">
      <c r="A30" s="15"/>
      <c r="B30" s="10"/>
      <c r="C30" s="22" t="s">
        <v>33</v>
      </c>
      <c r="D30" s="11"/>
      <c r="E30" s="12"/>
      <c r="F30" s="13"/>
      <c r="G30" s="13"/>
      <c r="H30" s="14">
        <f t="shared" si="1"/>
      </c>
      <c r="J30" s="27" t="str">
        <f>IF('１月'!J30="","",'１月'!J30)</f>
        <v>利益</v>
      </c>
      <c r="K30" s="28">
        <f>K5-K29</f>
        <v>0</v>
      </c>
      <c r="M30" s="31">
        <v>40751</v>
      </c>
      <c r="N30" s="42" t="s">
        <v>69</v>
      </c>
      <c r="O30" s="28">
        <f>SUMIF($B$5:$B$91,"7月27日",$F$5:$F$91)</f>
        <v>0</v>
      </c>
      <c r="P30" s="28">
        <f>SUMIF($B$5:$B$91,"7月27日",$G$5:$G$91)</f>
        <v>0</v>
      </c>
      <c r="Q30" s="32">
        <f t="shared" si="0"/>
        <v>0</v>
      </c>
    </row>
    <row r="31" spans="1:17" ht="13.5">
      <c r="A31" s="15"/>
      <c r="B31" s="10"/>
      <c r="C31" s="22" t="s">
        <v>33</v>
      </c>
      <c r="D31" s="11"/>
      <c r="E31" s="12"/>
      <c r="F31" s="13"/>
      <c r="G31" s="13"/>
      <c r="H31" s="14">
        <f t="shared" si="1"/>
      </c>
      <c r="J31" s="27" t="str">
        <f>IF('１月'!J31="","",'１月'!J31)</f>
        <v>入金</v>
      </c>
      <c r="K31" s="28">
        <f>SUMIF($C$5:$C$91,J31,$F$5:$F$91)</f>
        <v>0</v>
      </c>
      <c r="M31" s="31">
        <v>40752</v>
      </c>
      <c r="N31" s="42" t="s">
        <v>70</v>
      </c>
      <c r="O31" s="28">
        <f>SUMIF($B$5:$B$91,"7月28日",$F$5:$F$91)</f>
        <v>0</v>
      </c>
      <c r="P31" s="28">
        <f>SUMIF($B$5:$B$91,"7月28日",$G$5:$G$91)</f>
        <v>0</v>
      </c>
      <c r="Q31" s="32">
        <f t="shared" si="0"/>
        <v>0</v>
      </c>
    </row>
    <row r="32" spans="1:17" ht="13.5">
      <c r="A32" s="15"/>
      <c r="B32" s="10"/>
      <c r="C32" s="22" t="s">
        <v>33</v>
      </c>
      <c r="D32" s="11"/>
      <c r="E32" s="12"/>
      <c r="F32" s="13"/>
      <c r="G32" s="13"/>
      <c r="H32" s="14">
        <f t="shared" si="1"/>
      </c>
      <c r="J32" s="27" t="str">
        <f>IF('１月'!J32="","",'１月'!J32)</f>
        <v>その他支払い</v>
      </c>
      <c r="K32" s="28">
        <f>SUMIF($C$5:$C$91,J32,$G$5:$G$91)</f>
        <v>0</v>
      </c>
      <c r="M32" s="31">
        <v>40753</v>
      </c>
      <c r="N32" s="42" t="s">
        <v>71</v>
      </c>
      <c r="O32" s="28">
        <f>SUMIF($B$5:$B$91,"7月29日",$F$5:$F$91)</f>
        <v>0</v>
      </c>
      <c r="P32" s="28">
        <f>SUMIF($B$5:$B$91,"7月29日",$G$5:$G$91)</f>
        <v>0</v>
      </c>
      <c r="Q32" s="32">
        <f t="shared" si="0"/>
        <v>0</v>
      </c>
    </row>
    <row r="33" spans="1:17" ht="13.5">
      <c r="A33" s="15"/>
      <c r="B33" s="10"/>
      <c r="C33" s="22" t="s">
        <v>33</v>
      </c>
      <c r="D33" s="11"/>
      <c r="E33" s="12"/>
      <c r="F33" s="13"/>
      <c r="G33" s="13"/>
      <c r="H33" s="14">
        <f t="shared" si="1"/>
      </c>
      <c r="K33" s="3"/>
      <c r="M33" s="31">
        <v>40754</v>
      </c>
      <c r="N33" s="42" t="s">
        <v>72</v>
      </c>
      <c r="O33" s="28">
        <f>SUMIF($B$5:$B$91,"7月30日",$F$5:$F$91)</f>
        <v>0</v>
      </c>
      <c r="P33" s="28">
        <f>SUMIF($B$5:$B$91,"7月30日",$G$5:$G$91)</f>
        <v>0</v>
      </c>
      <c r="Q33" s="32">
        <f t="shared" si="0"/>
        <v>0</v>
      </c>
    </row>
    <row r="34" spans="1:17" ht="13.5">
      <c r="A34" s="15"/>
      <c r="B34" s="10"/>
      <c r="C34" s="22" t="s">
        <v>33</v>
      </c>
      <c r="D34" s="11"/>
      <c r="E34" s="12"/>
      <c r="F34" s="13"/>
      <c r="G34" s="13"/>
      <c r="H34" s="14">
        <f t="shared" si="1"/>
      </c>
      <c r="K34" s="3"/>
      <c r="M34" s="31">
        <v>40755</v>
      </c>
      <c r="N34" s="42" t="s">
        <v>66</v>
      </c>
      <c r="O34" s="28">
        <f>SUMIF($B$5:$B$91,"7月31日",$F$5:$F$91)</f>
        <v>0</v>
      </c>
      <c r="P34" s="28">
        <f>SUMIF($B$5:$B$91,"7月31日",$G$5:$G$91)</f>
        <v>0</v>
      </c>
      <c r="Q34" s="32">
        <f t="shared" si="0"/>
        <v>0</v>
      </c>
    </row>
    <row r="35" spans="1:17" ht="13.5">
      <c r="A35" s="15"/>
      <c r="B35" s="10"/>
      <c r="C35" s="22" t="s">
        <v>33</v>
      </c>
      <c r="D35" s="11"/>
      <c r="E35" s="12"/>
      <c r="F35" s="13"/>
      <c r="G35" s="13"/>
      <c r="H35" s="14">
        <f t="shared" si="1"/>
      </c>
      <c r="K35" s="3"/>
      <c r="M35" s="27"/>
      <c r="N35" s="27"/>
      <c r="O35" s="32">
        <f>SUM(O4:O34)</f>
        <v>0</v>
      </c>
      <c r="P35" s="32">
        <f>SUM(P4:P34)</f>
        <v>0</v>
      </c>
      <c r="Q35" s="32">
        <f t="shared" si="0"/>
        <v>0</v>
      </c>
    </row>
    <row r="36" spans="1:8" ht="13.5">
      <c r="A36" s="15"/>
      <c r="B36" s="10"/>
      <c r="C36" s="22" t="s">
        <v>33</v>
      </c>
      <c r="D36" s="11"/>
      <c r="E36" s="12"/>
      <c r="F36" s="13"/>
      <c r="G36" s="13"/>
      <c r="H36" s="14">
        <f t="shared" si="1"/>
      </c>
    </row>
    <row r="37" spans="1:11" ht="13.5">
      <c r="A37" s="15"/>
      <c r="B37" s="10"/>
      <c r="C37" s="22" t="s">
        <v>33</v>
      </c>
      <c r="D37" s="11"/>
      <c r="E37" s="12"/>
      <c r="F37" s="13"/>
      <c r="G37" s="13"/>
      <c r="H37" s="14">
        <f t="shared" si="1"/>
      </c>
      <c r="J37" s="27">
        <f>IF('１月'!J37="","",'１月'!J37)</f>
      </c>
      <c r="K37" s="28">
        <f aca="true" t="shared" si="3" ref="K37:K46">SUMIF($D$5:$D$91,J37,$G$5:$G$91)</f>
        <v>0</v>
      </c>
    </row>
    <row r="38" spans="1:11" ht="13.5">
      <c r="A38" s="15"/>
      <c r="B38" s="10"/>
      <c r="C38" s="22" t="s">
        <v>33</v>
      </c>
      <c r="D38" s="11"/>
      <c r="E38" s="12"/>
      <c r="F38" s="13"/>
      <c r="G38" s="13"/>
      <c r="H38" s="14">
        <f t="shared" si="1"/>
      </c>
      <c r="J38" s="27">
        <f>IF('１月'!J38="","",'１月'!J38)</f>
      </c>
      <c r="K38" s="28">
        <f t="shared" si="3"/>
        <v>0</v>
      </c>
    </row>
    <row r="39" spans="1:11" ht="13.5">
      <c r="A39" s="15"/>
      <c r="B39" s="10"/>
      <c r="C39" s="22" t="s">
        <v>33</v>
      </c>
      <c r="D39" s="11"/>
      <c r="E39" s="12"/>
      <c r="F39" s="13"/>
      <c r="G39" s="13"/>
      <c r="H39" s="14">
        <f t="shared" si="1"/>
      </c>
      <c r="J39" s="27">
        <f>IF('１月'!J39="","",'１月'!J39)</f>
      </c>
      <c r="K39" s="28">
        <f t="shared" si="3"/>
        <v>0</v>
      </c>
    </row>
    <row r="40" spans="1:11" ht="13.5">
      <c r="A40" s="15"/>
      <c r="B40" s="10"/>
      <c r="C40" s="22" t="s">
        <v>33</v>
      </c>
      <c r="D40" s="11"/>
      <c r="E40" s="12"/>
      <c r="F40" s="13"/>
      <c r="G40" s="13"/>
      <c r="H40" s="14">
        <f t="shared" si="1"/>
      </c>
      <c r="J40" s="27">
        <f>IF('１月'!J40="","",'１月'!J40)</f>
      </c>
      <c r="K40" s="28">
        <f t="shared" si="3"/>
        <v>0</v>
      </c>
    </row>
    <row r="41" spans="1:11" ht="13.5">
      <c r="A41" s="15"/>
      <c r="B41" s="10"/>
      <c r="C41" s="22" t="s">
        <v>33</v>
      </c>
      <c r="D41" s="11"/>
      <c r="E41" s="12"/>
      <c r="F41" s="13"/>
      <c r="G41" s="13"/>
      <c r="H41" s="14">
        <f t="shared" si="1"/>
      </c>
      <c r="J41" s="27">
        <f>IF('１月'!J41="","",'１月'!J41)</f>
      </c>
      <c r="K41" s="28">
        <f t="shared" si="3"/>
        <v>0</v>
      </c>
    </row>
    <row r="42" spans="1:11" ht="13.5">
      <c r="A42" s="15"/>
      <c r="B42" s="10"/>
      <c r="C42" s="22" t="s">
        <v>33</v>
      </c>
      <c r="D42" s="11"/>
      <c r="E42" s="12"/>
      <c r="F42" s="13"/>
      <c r="G42" s="13"/>
      <c r="H42" s="14">
        <f t="shared" si="1"/>
      </c>
      <c r="J42" s="27">
        <f>IF('１月'!J42="","",'１月'!J42)</f>
      </c>
      <c r="K42" s="28">
        <f t="shared" si="3"/>
        <v>0</v>
      </c>
    </row>
    <row r="43" spans="1:11" ht="13.5">
      <c r="A43" s="15"/>
      <c r="B43" s="10"/>
      <c r="C43" s="22" t="s">
        <v>33</v>
      </c>
      <c r="D43" s="11"/>
      <c r="E43" s="12"/>
      <c r="F43" s="13"/>
      <c r="G43" s="13"/>
      <c r="H43" s="14">
        <f t="shared" si="1"/>
      </c>
      <c r="J43" s="27">
        <f>IF('１月'!J43="","",'１月'!J43)</f>
      </c>
      <c r="K43" s="28">
        <f t="shared" si="3"/>
        <v>0</v>
      </c>
    </row>
    <row r="44" spans="1:11" ht="13.5">
      <c r="A44" s="15"/>
      <c r="B44" s="10"/>
      <c r="C44" s="22" t="s">
        <v>33</v>
      </c>
      <c r="D44" s="11"/>
      <c r="E44" s="12"/>
      <c r="F44" s="13"/>
      <c r="G44" s="13"/>
      <c r="H44" s="14">
        <f t="shared" si="1"/>
      </c>
      <c r="J44" s="27">
        <f>IF('１月'!J44="","",'１月'!J44)</f>
      </c>
      <c r="K44" s="28">
        <f t="shared" si="3"/>
        <v>0</v>
      </c>
    </row>
    <row r="45" spans="1:11" ht="13.5">
      <c r="A45" s="15"/>
      <c r="B45" s="10"/>
      <c r="C45" s="22" t="s">
        <v>33</v>
      </c>
      <c r="D45" s="11"/>
      <c r="E45" s="12"/>
      <c r="F45" s="13"/>
      <c r="G45" s="13"/>
      <c r="H45" s="14">
        <f t="shared" si="1"/>
      </c>
      <c r="J45" s="27">
        <f>IF('１月'!J45="","",'１月'!J45)</f>
      </c>
      <c r="K45" s="28">
        <f t="shared" si="3"/>
        <v>0</v>
      </c>
    </row>
    <row r="46" spans="1:11" ht="13.5">
      <c r="A46" s="15"/>
      <c r="B46" s="10"/>
      <c r="C46" s="22" t="s">
        <v>33</v>
      </c>
      <c r="D46" s="11"/>
      <c r="E46" s="12"/>
      <c r="F46" s="13"/>
      <c r="G46" s="13"/>
      <c r="H46" s="14">
        <f t="shared" si="1"/>
      </c>
      <c r="J46" s="27">
        <f>IF('１月'!J46="","",'１月'!J46)</f>
      </c>
      <c r="K46" s="28">
        <f t="shared" si="3"/>
        <v>0</v>
      </c>
    </row>
    <row r="47" spans="1:8" ht="13.5">
      <c r="A47" s="15"/>
      <c r="B47" s="10"/>
      <c r="C47" s="22" t="s">
        <v>33</v>
      </c>
      <c r="D47" s="11"/>
      <c r="E47" s="12"/>
      <c r="F47" s="13"/>
      <c r="G47" s="13"/>
      <c r="H47" s="14">
        <f t="shared" si="1"/>
      </c>
    </row>
    <row r="48" spans="1:8" ht="13.5">
      <c r="A48" s="15"/>
      <c r="B48" s="10"/>
      <c r="C48" s="22" t="s">
        <v>33</v>
      </c>
      <c r="D48" s="11"/>
      <c r="E48" s="12"/>
      <c r="F48" s="13"/>
      <c r="G48" s="13"/>
      <c r="H48" s="14">
        <f t="shared" si="1"/>
      </c>
    </row>
    <row r="49" spans="1:8" ht="13.5">
      <c r="A49" s="15"/>
      <c r="B49" s="10"/>
      <c r="C49" s="22" t="s">
        <v>33</v>
      </c>
      <c r="D49" s="11"/>
      <c r="E49" s="12"/>
      <c r="F49" s="13"/>
      <c r="G49" s="13"/>
      <c r="H49" s="14">
        <f t="shared" si="1"/>
      </c>
    </row>
    <row r="50" spans="1:8" ht="13.5">
      <c r="A50" s="15"/>
      <c r="B50" s="10"/>
      <c r="C50" s="22" t="s">
        <v>33</v>
      </c>
      <c r="D50" s="11"/>
      <c r="E50" s="12"/>
      <c r="F50" s="13"/>
      <c r="G50" s="13"/>
      <c r="H50" s="14">
        <f t="shared" si="1"/>
      </c>
    </row>
    <row r="51" spans="1:8" ht="13.5">
      <c r="A51" s="15"/>
      <c r="B51" s="10"/>
      <c r="C51" s="22" t="s">
        <v>33</v>
      </c>
      <c r="D51" s="11"/>
      <c r="E51" s="12"/>
      <c r="F51" s="13"/>
      <c r="G51" s="13"/>
      <c r="H51" s="14">
        <f t="shared" si="1"/>
      </c>
    </row>
    <row r="52" spans="1:8" ht="13.5">
      <c r="A52" s="15"/>
      <c r="B52" s="10"/>
      <c r="C52" s="22" t="s">
        <v>33</v>
      </c>
      <c r="D52" s="11"/>
      <c r="E52" s="12"/>
      <c r="F52" s="13"/>
      <c r="G52" s="13"/>
      <c r="H52" s="14">
        <f t="shared" si="1"/>
      </c>
    </row>
    <row r="53" spans="1:8" ht="13.5">
      <c r="A53" s="15"/>
      <c r="B53" s="10"/>
      <c r="C53" s="22" t="s">
        <v>33</v>
      </c>
      <c r="D53" s="11"/>
      <c r="E53" s="12"/>
      <c r="F53" s="13"/>
      <c r="G53" s="13"/>
      <c r="H53" s="14">
        <f t="shared" si="1"/>
      </c>
    </row>
    <row r="54" spans="1:8" ht="13.5">
      <c r="A54" s="15"/>
      <c r="B54" s="10"/>
      <c r="C54" s="22" t="s">
        <v>33</v>
      </c>
      <c r="D54" s="11"/>
      <c r="E54" s="12"/>
      <c r="F54" s="13"/>
      <c r="G54" s="13"/>
      <c r="H54" s="14">
        <f t="shared" si="1"/>
      </c>
    </row>
    <row r="55" spans="1:8" ht="13.5">
      <c r="A55" s="15"/>
      <c r="B55" s="10"/>
      <c r="C55" s="22" t="s">
        <v>33</v>
      </c>
      <c r="D55" s="11"/>
      <c r="E55" s="12"/>
      <c r="F55" s="13"/>
      <c r="G55" s="13"/>
      <c r="H55" s="14">
        <f t="shared" si="1"/>
      </c>
    </row>
    <row r="56" spans="1:8" ht="13.5">
      <c r="A56" s="15"/>
      <c r="B56" s="10"/>
      <c r="C56" s="22" t="s">
        <v>33</v>
      </c>
      <c r="D56" s="11"/>
      <c r="E56" s="12"/>
      <c r="F56" s="13"/>
      <c r="G56" s="13"/>
      <c r="H56" s="14">
        <f t="shared" si="1"/>
      </c>
    </row>
    <row r="57" spans="1:8" ht="13.5">
      <c r="A57" s="15"/>
      <c r="B57" s="10"/>
      <c r="C57" s="22" t="s">
        <v>33</v>
      </c>
      <c r="D57" s="11"/>
      <c r="E57" s="12"/>
      <c r="F57" s="13"/>
      <c r="G57" s="13"/>
      <c r="H57" s="14">
        <f t="shared" si="1"/>
      </c>
    </row>
    <row r="58" spans="1:8" ht="13.5">
      <c r="A58" s="15"/>
      <c r="B58" s="10"/>
      <c r="C58" s="22" t="s">
        <v>33</v>
      </c>
      <c r="D58" s="11"/>
      <c r="E58" s="12"/>
      <c r="F58" s="13"/>
      <c r="G58" s="13"/>
      <c r="H58" s="14">
        <f t="shared" si="1"/>
      </c>
    </row>
    <row r="59" spans="1:8" ht="13.5">
      <c r="A59" s="15"/>
      <c r="B59" s="10"/>
      <c r="C59" s="22" t="s">
        <v>33</v>
      </c>
      <c r="D59" s="11"/>
      <c r="E59" s="12"/>
      <c r="F59" s="13"/>
      <c r="G59" s="13"/>
      <c r="H59" s="14">
        <f t="shared" si="1"/>
      </c>
    </row>
    <row r="60" spans="1:8" ht="13.5">
      <c r="A60" s="15"/>
      <c r="B60" s="10"/>
      <c r="C60" s="22" t="s">
        <v>33</v>
      </c>
      <c r="D60" s="11"/>
      <c r="E60" s="12"/>
      <c r="F60" s="13"/>
      <c r="G60" s="13"/>
      <c r="H60" s="14">
        <f t="shared" si="1"/>
      </c>
    </row>
    <row r="61" spans="1:8" ht="13.5">
      <c r="A61" s="15"/>
      <c r="B61" s="10"/>
      <c r="C61" s="22" t="s">
        <v>33</v>
      </c>
      <c r="D61" s="11"/>
      <c r="E61" s="12"/>
      <c r="F61" s="13"/>
      <c r="G61" s="13"/>
      <c r="H61" s="14">
        <f t="shared" si="1"/>
      </c>
    </row>
    <row r="62" spans="1:8" ht="13.5">
      <c r="A62" s="15"/>
      <c r="B62" s="10"/>
      <c r="C62" s="22" t="s">
        <v>33</v>
      </c>
      <c r="D62" s="11"/>
      <c r="E62" s="12"/>
      <c r="F62" s="13"/>
      <c r="G62" s="13"/>
      <c r="H62" s="14">
        <f t="shared" si="1"/>
      </c>
    </row>
    <row r="63" spans="1:8" ht="13.5">
      <c r="A63" s="15"/>
      <c r="B63" s="10"/>
      <c r="C63" s="22" t="s">
        <v>33</v>
      </c>
      <c r="D63" s="11"/>
      <c r="E63" s="12"/>
      <c r="F63" s="13"/>
      <c r="G63" s="13"/>
      <c r="H63" s="14">
        <f t="shared" si="1"/>
      </c>
    </row>
    <row r="64" spans="1:8" ht="13.5">
      <c r="A64" s="15"/>
      <c r="B64" s="10"/>
      <c r="C64" s="22" t="s">
        <v>33</v>
      </c>
      <c r="D64" s="11"/>
      <c r="E64" s="12"/>
      <c r="F64" s="13"/>
      <c r="G64" s="13"/>
      <c r="H64" s="14">
        <f t="shared" si="1"/>
      </c>
    </row>
    <row r="65" spans="1:8" ht="13.5">
      <c r="A65" s="15"/>
      <c r="B65" s="10"/>
      <c r="C65" s="22" t="s">
        <v>33</v>
      </c>
      <c r="D65" s="11"/>
      <c r="E65" s="12"/>
      <c r="F65" s="13"/>
      <c r="G65" s="13"/>
      <c r="H65" s="14">
        <f t="shared" si="1"/>
      </c>
    </row>
    <row r="66" spans="1:8" ht="13.5">
      <c r="A66" s="15"/>
      <c r="B66" s="10"/>
      <c r="C66" s="22" t="s">
        <v>33</v>
      </c>
      <c r="D66" s="11"/>
      <c r="E66" s="12"/>
      <c r="F66" s="13"/>
      <c r="G66" s="13"/>
      <c r="H66" s="14">
        <f t="shared" si="1"/>
      </c>
    </row>
    <row r="67" spans="1:8" ht="13.5">
      <c r="A67" s="15"/>
      <c r="B67" s="10"/>
      <c r="C67" s="22" t="s">
        <v>33</v>
      </c>
      <c r="D67" s="11"/>
      <c r="E67" s="12"/>
      <c r="F67" s="13"/>
      <c r="G67" s="13"/>
      <c r="H67" s="14">
        <f t="shared" si="1"/>
      </c>
    </row>
    <row r="68" spans="1:8" ht="13.5">
      <c r="A68" s="15"/>
      <c r="B68" s="10"/>
      <c r="C68" s="22" t="s">
        <v>33</v>
      </c>
      <c r="D68" s="11"/>
      <c r="E68" s="12"/>
      <c r="F68" s="13"/>
      <c r="G68" s="13"/>
      <c r="H68" s="14">
        <f t="shared" si="1"/>
      </c>
    </row>
    <row r="69" spans="1:8" ht="13.5">
      <c r="A69" s="15"/>
      <c r="B69" s="10"/>
      <c r="C69" s="22" t="s">
        <v>33</v>
      </c>
      <c r="D69" s="11"/>
      <c r="E69" s="12"/>
      <c r="F69" s="13"/>
      <c r="G69" s="13"/>
      <c r="H69" s="14">
        <f t="shared" si="1"/>
      </c>
    </row>
    <row r="70" spans="1:8" ht="13.5">
      <c r="A70" s="15"/>
      <c r="B70" s="10"/>
      <c r="C70" s="22" t="s">
        <v>33</v>
      </c>
      <c r="D70" s="11"/>
      <c r="E70" s="12"/>
      <c r="F70" s="13"/>
      <c r="G70" s="13"/>
      <c r="H70" s="14">
        <f aca="true" t="shared" si="4" ref="H70:H91">IF(OR(H69="",AND(F70="",G70="")),"",H69+F70-G70)</f>
      </c>
    </row>
    <row r="71" spans="1:8" ht="13.5">
      <c r="A71" s="15"/>
      <c r="B71" s="10"/>
      <c r="C71" s="22" t="s">
        <v>33</v>
      </c>
      <c r="D71" s="11"/>
      <c r="E71" s="12"/>
      <c r="F71" s="13"/>
      <c r="G71" s="13"/>
      <c r="H71" s="14">
        <f t="shared" si="4"/>
      </c>
    </row>
    <row r="72" spans="1:8" ht="13.5">
      <c r="A72" s="15"/>
      <c r="B72" s="10"/>
      <c r="C72" s="22" t="s">
        <v>33</v>
      </c>
      <c r="D72" s="11"/>
      <c r="E72" s="12"/>
      <c r="F72" s="13"/>
      <c r="G72" s="13"/>
      <c r="H72" s="14">
        <f t="shared" si="4"/>
      </c>
    </row>
    <row r="73" spans="1:8" ht="13.5">
      <c r="A73" s="15"/>
      <c r="B73" s="10"/>
      <c r="C73" s="22" t="s">
        <v>33</v>
      </c>
      <c r="D73" s="11"/>
      <c r="E73" s="12"/>
      <c r="F73" s="13"/>
      <c r="G73" s="13"/>
      <c r="H73" s="14">
        <f t="shared" si="4"/>
      </c>
    </row>
    <row r="74" spans="1:8" ht="13.5">
      <c r="A74" s="15"/>
      <c r="B74" s="10"/>
      <c r="C74" s="22" t="s">
        <v>33</v>
      </c>
      <c r="D74" s="11"/>
      <c r="E74" s="12"/>
      <c r="F74" s="13"/>
      <c r="G74" s="13"/>
      <c r="H74" s="14">
        <f t="shared" si="4"/>
      </c>
    </row>
    <row r="75" spans="1:8" ht="13.5">
      <c r="A75" s="15"/>
      <c r="B75" s="10"/>
      <c r="C75" s="22" t="s">
        <v>33</v>
      </c>
      <c r="D75" s="11"/>
      <c r="E75" s="12"/>
      <c r="F75" s="13"/>
      <c r="G75" s="13"/>
      <c r="H75" s="14">
        <f t="shared" si="4"/>
      </c>
    </row>
    <row r="76" spans="1:8" ht="13.5">
      <c r="A76" s="15"/>
      <c r="B76" s="10"/>
      <c r="C76" s="22" t="s">
        <v>33</v>
      </c>
      <c r="D76" s="11"/>
      <c r="E76" s="12"/>
      <c r="F76" s="13"/>
      <c r="G76" s="13"/>
      <c r="H76" s="14">
        <f t="shared" si="4"/>
      </c>
    </row>
    <row r="77" spans="1:8" ht="13.5">
      <c r="A77" s="15"/>
      <c r="B77" s="10"/>
      <c r="C77" s="22" t="s">
        <v>33</v>
      </c>
      <c r="D77" s="11"/>
      <c r="E77" s="12"/>
      <c r="F77" s="13"/>
      <c r="G77" s="13"/>
      <c r="H77" s="14">
        <f t="shared" si="4"/>
      </c>
    </row>
    <row r="78" spans="1:8" ht="13.5">
      <c r="A78" s="15"/>
      <c r="B78" s="10"/>
      <c r="C78" s="22" t="s">
        <v>33</v>
      </c>
      <c r="D78" s="11"/>
      <c r="E78" s="12"/>
      <c r="F78" s="13"/>
      <c r="G78" s="13"/>
      <c r="H78" s="14">
        <f t="shared" si="4"/>
      </c>
    </row>
    <row r="79" spans="1:8" ht="13.5">
      <c r="A79" s="15"/>
      <c r="B79" s="10"/>
      <c r="C79" s="22" t="s">
        <v>33</v>
      </c>
      <c r="D79" s="11"/>
      <c r="E79" s="12"/>
      <c r="F79" s="13"/>
      <c r="G79" s="13"/>
      <c r="H79" s="14">
        <f t="shared" si="4"/>
      </c>
    </row>
    <row r="80" spans="1:8" ht="13.5">
      <c r="A80" s="15"/>
      <c r="B80" s="10"/>
      <c r="C80" s="22" t="s">
        <v>33</v>
      </c>
      <c r="D80" s="11"/>
      <c r="E80" s="12"/>
      <c r="F80" s="13"/>
      <c r="G80" s="13"/>
      <c r="H80" s="14">
        <f t="shared" si="4"/>
      </c>
    </row>
    <row r="81" spans="1:8" ht="13.5">
      <c r="A81" s="15"/>
      <c r="B81" s="10"/>
      <c r="C81" s="22" t="s">
        <v>33</v>
      </c>
      <c r="D81" s="11"/>
      <c r="E81" s="12"/>
      <c r="F81" s="13"/>
      <c r="G81" s="13"/>
      <c r="H81" s="14">
        <f t="shared" si="4"/>
      </c>
    </row>
    <row r="82" spans="1:8" ht="13.5">
      <c r="A82" s="15"/>
      <c r="B82" s="10"/>
      <c r="C82" s="22" t="s">
        <v>33</v>
      </c>
      <c r="D82" s="11"/>
      <c r="E82" s="12"/>
      <c r="F82" s="13"/>
      <c r="G82" s="13"/>
      <c r="H82" s="14">
        <f t="shared" si="4"/>
      </c>
    </row>
    <row r="83" spans="1:8" ht="13.5">
      <c r="A83" s="15"/>
      <c r="B83" s="10"/>
      <c r="C83" s="22" t="s">
        <v>33</v>
      </c>
      <c r="D83" s="11"/>
      <c r="E83" s="12"/>
      <c r="F83" s="13"/>
      <c r="G83" s="13"/>
      <c r="H83" s="14">
        <f t="shared" si="4"/>
      </c>
    </row>
    <row r="84" spans="1:8" ht="13.5">
      <c r="A84" s="15"/>
      <c r="B84" s="10"/>
      <c r="C84" s="22" t="s">
        <v>33</v>
      </c>
      <c r="D84" s="11"/>
      <c r="E84" s="12"/>
      <c r="F84" s="13"/>
      <c r="G84" s="13"/>
      <c r="H84" s="14">
        <f t="shared" si="4"/>
      </c>
    </row>
    <row r="85" spans="1:8" ht="13.5">
      <c r="A85" s="15"/>
      <c r="B85" s="10"/>
      <c r="C85" s="22" t="s">
        <v>33</v>
      </c>
      <c r="D85" s="11"/>
      <c r="E85" s="12"/>
      <c r="F85" s="13"/>
      <c r="G85" s="13"/>
      <c r="H85" s="14">
        <f t="shared" si="4"/>
      </c>
    </row>
    <row r="86" spans="1:8" ht="13.5">
      <c r="A86" s="15"/>
      <c r="B86" s="10"/>
      <c r="C86" s="22" t="s">
        <v>33</v>
      </c>
      <c r="D86" s="11"/>
      <c r="E86" s="12"/>
      <c r="F86" s="13"/>
      <c r="G86" s="13"/>
      <c r="H86" s="14">
        <f t="shared" si="4"/>
      </c>
    </row>
    <row r="87" spans="1:8" ht="13.5">
      <c r="A87" s="15"/>
      <c r="B87" s="10"/>
      <c r="C87" s="22" t="s">
        <v>33</v>
      </c>
      <c r="D87" s="11"/>
      <c r="E87" s="12"/>
      <c r="F87" s="13"/>
      <c r="G87" s="13"/>
      <c r="H87" s="14">
        <f t="shared" si="4"/>
      </c>
    </row>
    <row r="88" spans="1:8" ht="13.5">
      <c r="A88" s="15"/>
      <c r="B88" s="10"/>
      <c r="C88" s="22" t="s">
        <v>33</v>
      </c>
      <c r="D88" s="11"/>
      <c r="E88" s="12"/>
      <c r="F88" s="13"/>
      <c r="G88" s="13"/>
      <c r="H88" s="14">
        <f t="shared" si="4"/>
      </c>
    </row>
    <row r="89" spans="1:8" ht="13.5">
      <c r="A89" s="15"/>
      <c r="B89" s="10"/>
      <c r="C89" s="22" t="s">
        <v>33</v>
      </c>
      <c r="D89" s="11"/>
      <c r="E89" s="12"/>
      <c r="F89" s="13"/>
      <c r="G89" s="13"/>
      <c r="H89" s="14">
        <f t="shared" si="4"/>
      </c>
    </row>
    <row r="90" spans="1:8" ht="13.5">
      <c r="A90" s="15"/>
      <c r="B90" s="10"/>
      <c r="C90" s="22" t="s">
        <v>33</v>
      </c>
      <c r="D90" s="11"/>
      <c r="E90" s="12"/>
      <c r="F90" s="13"/>
      <c r="G90" s="13"/>
      <c r="H90" s="14">
        <f t="shared" si="4"/>
      </c>
    </row>
    <row r="91" spans="1:8" ht="14.25" thickBot="1">
      <c r="A91" s="15"/>
      <c r="B91" s="10"/>
      <c r="C91" s="22" t="s">
        <v>33</v>
      </c>
      <c r="D91" s="11"/>
      <c r="E91" s="12"/>
      <c r="F91" s="13"/>
      <c r="G91" s="13"/>
      <c r="H91" s="14">
        <f t="shared" si="4"/>
      </c>
    </row>
    <row r="92" spans="1:8" ht="14.25" thickBot="1">
      <c r="A92" s="15"/>
      <c r="B92" s="17"/>
      <c r="C92" s="18"/>
      <c r="D92" s="18"/>
      <c r="E92" s="19" t="s">
        <v>8</v>
      </c>
      <c r="F92" s="20"/>
      <c r="G92" s="20"/>
      <c r="H92" s="21">
        <f>IF(AND(SUM(F5:F91)=0,SUM(G5:G91)=0),"",SUM(F5:F91)-SUM(G5:G91)+H4)</f>
      </c>
    </row>
  </sheetData>
  <sheetProtection/>
  <mergeCells count="1">
    <mergeCell ref="B1:C1"/>
  </mergeCells>
  <dataValidations count="2">
    <dataValidation type="list" allowBlank="1" showInputMessage="1" showErrorMessage="1" sqref="C5:C91">
      <formula1>$J$3:$J$32</formula1>
    </dataValidation>
    <dataValidation type="list" allowBlank="1" showInputMessage="1" showErrorMessage="1" sqref="D5:D91">
      <formula1>$J$37:$J$46</formula1>
    </dataValidation>
  </dataValidations>
  <printOptions/>
  <pageMargins left="0.75" right="0.75" top="1" bottom="1" header="0.512" footer="0.512"/>
  <pageSetup orientation="portrait" paperSize="9"/>
  <ignoredErrors>
    <ignoredError sqref="K5" formula="1"/>
  </ignoredErrors>
  <legacyDrawing r:id="rId2"/>
</worksheet>
</file>

<file path=xl/worksheets/sheet8.xml><?xml version="1.0" encoding="utf-8"?>
<worksheet xmlns="http://schemas.openxmlformats.org/spreadsheetml/2006/main" xmlns:r="http://schemas.openxmlformats.org/officeDocument/2006/relationships">
  <dimension ref="A1:Q92"/>
  <sheetViews>
    <sheetView zoomScalePageLayoutView="0" workbookViewId="0" topLeftCell="A1">
      <selection activeCell="J24" sqref="J24"/>
    </sheetView>
  </sheetViews>
  <sheetFormatPr defaultColWidth="9.00390625" defaultRowHeight="13.5"/>
  <cols>
    <col min="3" max="3" width="10.875" style="0" customWidth="1"/>
    <col min="4" max="4" width="18.125" style="0" customWidth="1"/>
    <col min="5" max="5" width="22.25390625" style="0" customWidth="1"/>
    <col min="6" max="7" width="11.875" style="0" customWidth="1"/>
    <col min="8" max="8" width="13.125" style="0" customWidth="1"/>
    <col min="10" max="10" width="12.75390625" style="0" bestFit="1" customWidth="1"/>
    <col min="14" max="14" width="5.25390625" style="0" bestFit="1" customWidth="1"/>
  </cols>
  <sheetData>
    <row r="1" spans="1:11" ht="23.25">
      <c r="A1" s="1"/>
      <c r="B1" s="38" t="s">
        <v>9</v>
      </c>
      <c r="C1" s="39"/>
      <c r="D1" s="2"/>
      <c r="E1" s="2"/>
      <c r="F1" s="2"/>
      <c r="G1" s="2"/>
      <c r="H1" s="2"/>
      <c r="K1" s="3"/>
    </row>
    <row r="2" spans="1:11" ht="15" thickBot="1">
      <c r="A2" s="1"/>
      <c r="B2" s="1"/>
      <c r="C2" s="1"/>
      <c r="D2" s="1"/>
      <c r="E2" s="1"/>
      <c r="F2" s="1"/>
      <c r="G2" s="1"/>
      <c r="H2" s="4" t="s">
        <v>49</v>
      </c>
      <c r="K2" s="3"/>
    </row>
    <row r="3" spans="1:17" ht="15" thickBot="1">
      <c r="A3" s="1"/>
      <c r="B3" s="5" t="s">
        <v>1</v>
      </c>
      <c r="C3" s="6" t="s">
        <v>2</v>
      </c>
      <c r="D3" s="7" t="s">
        <v>3</v>
      </c>
      <c r="E3" s="8" t="s">
        <v>4</v>
      </c>
      <c r="F3" s="6" t="s">
        <v>5</v>
      </c>
      <c r="G3" s="6" t="s">
        <v>6</v>
      </c>
      <c r="H3" s="9" t="s">
        <v>7</v>
      </c>
      <c r="J3" s="27" t="str">
        <f>IF('１月'!J3="","",'１月'!J3)</f>
        <v>売上</v>
      </c>
      <c r="K3" s="28">
        <f>SUMIF($C$5:$C$91,J3,$F$5:$F$91)</f>
        <v>0</v>
      </c>
      <c r="M3" s="29" t="s">
        <v>36</v>
      </c>
      <c r="N3" s="29" t="s">
        <v>37</v>
      </c>
      <c r="O3" s="30" t="s">
        <v>38</v>
      </c>
      <c r="P3" s="30" t="s">
        <v>39</v>
      </c>
      <c r="Q3" s="27"/>
    </row>
    <row r="4" spans="1:17" ht="14.25">
      <c r="A4" s="1"/>
      <c r="B4" s="10"/>
      <c r="C4" s="22" t="s">
        <v>33</v>
      </c>
      <c r="D4" s="11"/>
      <c r="E4" s="12" t="s">
        <v>35</v>
      </c>
      <c r="F4" s="13"/>
      <c r="G4" s="13"/>
      <c r="H4" s="14">
        <f>'７月'!H92</f>
      </c>
      <c r="J4" s="27" t="str">
        <f>IF('１月'!J4="","",'１月'!J4)</f>
        <v>仕入</v>
      </c>
      <c r="K4" s="28">
        <f>SUMIF($C$5:$C$91,J4,$G$5:$G$91)</f>
        <v>0</v>
      </c>
      <c r="M4" s="31">
        <v>40756</v>
      </c>
      <c r="N4" s="42" t="s">
        <v>83</v>
      </c>
      <c r="O4" s="28">
        <f>SUMIF($B$5:$B$91,"8月1日",$F$5:$F$91)</f>
        <v>0</v>
      </c>
      <c r="P4" s="28">
        <f>SUMIF($B$5:$B$91,"8月1日",$G$5:$G$91)</f>
        <v>0</v>
      </c>
      <c r="Q4" s="32">
        <f>O4-P4</f>
        <v>0</v>
      </c>
    </row>
    <row r="5" spans="1:17" ht="14.25">
      <c r="A5" s="1"/>
      <c r="B5" s="10"/>
      <c r="C5" s="22" t="s">
        <v>33</v>
      </c>
      <c r="D5" s="11"/>
      <c r="E5" s="12"/>
      <c r="F5" s="13"/>
      <c r="G5" s="13"/>
      <c r="H5" s="14">
        <f>IF(OR(H4="",AND(F5="",G5="")),"",H4+F5-G5)</f>
      </c>
      <c r="J5" s="27" t="str">
        <f>IF('１月'!J5="","",'１月'!J5)</f>
        <v>製造原価</v>
      </c>
      <c r="K5" s="28">
        <f>K3-K4</f>
        <v>0</v>
      </c>
      <c r="M5" s="31">
        <v>40757</v>
      </c>
      <c r="N5" s="42" t="s">
        <v>68</v>
      </c>
      <c r="O5" s="28">
        <f>SUMIF($B$5:$B$91,"8月2日",$F$5:$F$91)</f>
        <v>0</v>
      </c>
      <c r="P5" s="28">
        <f>SUMIF($B$5:$B$91,"8月2日",$G$5:$G$91)</f>
        <v>0</v>
      </c>
      <c r="Q5" s="32">
        <f aca="true" t="shared" si="0" ref="Q5:Q35">O5-P5</f>
        <v>0</v>
      </c>
    </row>
    <row r="6" spans="1:17" ht="14.25">
      <c r="A6" s="1"/>
      <c r="B6" s="10"/>
      <c r="C6" s="22" t="s">
        <v>33</v>
      </c>
      <c r="D6" s="11"/>
      <c r="E6" s="12"/>
      <c r="F6" s="13"/>
      <c r="G6" s="13"/>
      <c r="H6" s="14">
        <f aca="true" t="shared" si="1" ref="H6:H69">IF(OR(H5="",AND(F6="",G6="")),"",H5+F6-G6)</f>
      </c>
      <c r="J6" s="27" t="str">
        <f>IF('１月'!J6="","",'１月'!J6)</f>
        <v>租税公課</v>
      </c>
      <c r="K6" s="28">
        <f>SUMIF($C$5:$C$91,J6,$G$5:$G$91)</f>
        <v>0</v>
      </c>
      <c r="M6" s="31">
        <v>40758</v>
      </c>
      <c r="N6" s="42" t="s">
        <v>69</v>
      </c>
      <c r="O6" s="28">
        <f>SUMIF($B$5:$B$91,"8月3日",$F$5:$F$91)</f>
        <v>0</v>
      </c>
      <c r="P6" s="28">
        <f>SUMIF($B$5:$B$91,"8月3日",$G$5:$G$91)</f>
        <v>0</v>
      </c>
      <c r="Q6" s="32">
        <f t="shared" si="0"/>
        <v>0</v>
      </c>
    </row>
    <row r="7" spans="1:17" ht="14.25">
      <c r="A7" s="1"/>
      <c r="B7" s="10"/>
      <c r="C7" s="22" t="s">
        <v>33</v>
      </c>
      <c r="D7" s="11"/>
      <c r="E7" s="12"/>
      <c r="F7" s="13"/>
      <c r="G7" s="13"/>
      <c r="H7" s="14">
        <f t="shared" si="1"/>
      </c>
      <c r="J7" s="27" t="str">
        <f>IF('１月'!J7="","",'１月'!J7)</f>
        <v>荷造運賃</v>
      </c>
      <c r="K7" s="28">
        <f aca="true" t="shared" si="2" ref="K7:K28">SUMIF($C$5:$C$91,J7,$G$5:$G$91)</f>
        <v>0</v>
      </c>
      <c r="M7" s="31">
        <v>40759</v>
      </c>
      <c r="N7" s="42" t="s">
        <v>70</v>
      </c>
      <c r="O7" s="28">
        <f>SUMIF($B$5:$B$91,"8月4日",$F$5:$F$91)</f>
        <v>0</v>
      </c>
      <c r="P7" s="28">
        <f>SUMIF($B$5:$B$91,"8月4日",$G$5:$G$91)</f>
        <v>0</v>
      </c>
      <c r="Q7" s="32">
        <f t="shared" si="0"/>
        <v>0</v>
      </c>
    </row>
    <row r="8" spans="1:17" ht="14.25">
      <c r="A8" s="1"/>
      <c r="B8" s="10"/>
      <c r="C8" s="22" t="s">
        <v>33</v>
      </c>
      <c r="D8" s="11"/>
      <c r="E8" s="12"/>
      <c r="F8" s="13"/>
      <c r="G8" s="13"/>
      <c r="H8" s="14">
        <f t="shared" si="1"/>
      </c>
      <c r="J8" s="27" t="str">
        <f>IF('１月'!J8="","",'１月'!J8)</f>
        <v>水道光熱費</v>
      </c>
      <c r="K8" s="28">
        <f t="shared" si="2"/>
        <v>0</v>
      </c>
      <c r="M8" s="31">
        <v>40760</v>
      </c>
      <c r="N8" s="42" t="s">
        <v>71</v>
      </c>
      <c r="O8" s="28">
        <f>SUMIF($B$5:$B$91,"8月5日",$F$5:$F$91)</f>
        <v>0</v>
      </c>
      <c r="P8" s="28">
        <f>SUMIF($B$5:$B$91,"8月5日",$G$5:$G$91)</f>
        <v>0</v>
      </c>
      <c r="Q8" s="32">
        <f t="shared" si="0"/>
        <v>0</v>
      </c>
    </row>
    <row r="9" spans="1:17" ht="14.25">
      <c r="A9" s="1"/>
      <c r="B9" s="10"/>
      <c r="C9" s="22" t="s">
        <v>33</v>
      </c>
      <c r="D9" s="11"/>
      <c r="E9" s="12"/>
      <c r="F9" s="13"/>
      <c r="G9" s="13"/>
      <c r="H9" s="14">
        <f t="shared" si="1"/>
      </c>
      <c r="J9" s="27" t="str">
        <f>IF('１月'!J9="","",'１月'!J9)</f>
        <v>旅費交通費</v>
      </c>
      <c r="K9" s="28">
        <f t="shared" si="2"/>
        <v>0</v>
      </c>
      <c r="M9" s="31">
        <v>40761</v>
      </c>
      <c r="N9" s="42" t="s">
        <v>72</v>
      </c>
      <c r="O9" s="28">
        <f>SUMIF($B$5:$B$91,"8月6日",$F$5:$F$91)</f>
        <v>0</v>
      </c>
      <c r="P9" s="28">
        <f>SUMIF($B$5:$B$91,"8月6日",$G$5:$G$91)</f>
        <v>0</v>
      </c>
      <c r="Q9" s="32">
        <f t="shared" si="0"/>
        <v>0</v>
      </c>
    </row>
    <row r="10" spans="1:17" ht="14.25">
      <c r="A10" s="15"/>
      <c r="B10" s="10"/>
      <c r="C10" s="22" t="s">
        <v>33</v>
      </c>
      <c r="D10" s="11"/>
      <c r="E10" s="12"/>
      <c r="F10" s="13"/>
      <c r="G10" s="13"/>
      <c r="H10" s="14">
        <f t="shared" si="1"/>
      </c>
      <c r="J10" s="27" t="str">
        <f>IF('１月'!J10="","",'１月'!J10)</f>
        <v>通信費</v>
      </c>
      <c r="K10" s="28">
        <f t="shared" si="2"/>
        <v>0</v>
      </c>
      <c r="M10" s="31">
        <v>40762</v>
      </c>
      <c r="N10" s="42" t="s">
        <v>66</v>
      </c>
      <c r="O10" s="28">
        <f>SUMIF($B$5:$B$91,"8月7日",$F$5:$F$91)</f>
        <v>0</v>
      </c>
      <c r="P10" s="28">
        <f>SUMIF($B$5:$B$91,"8月7日",$G$5:$G$91)</f>
        <v>0</v>
      </c>
      <c r="Q10" s="32">
        <f t="shared" si="0"/>
        <v>0</v>
      </c>
    </row>
    <row r="11" spans="1:17" ht="14.25">
      <c r="A11" s="15"/>
      <c r="B11" s="10"/>
      <c r="C11" s="22" t="s">
        <v>33</v>
      </c>
      <c r="D11" s="11"/>
      <c r="E11" s="12"/>
      <c r="F11" s="13"/>
      <c r="G11" s="13"/>
      <c r="H11" s="14">
        <f t="shared" si="1"/>
      </c>
      <c r="J11" s="27" t="str">
        <f>IF('１月'!J11="","",'１月'!J11)</f>
        <v>広告宣伝費</v>
      </c>
      <c r="K11" s="28">
        <f t="shared" si="2"/>
        <v>0</v>
      </c>
      <c r="M11" s="31">
        <v>40763</v>
      </c>
      <c r="N11" s="42" t="s">
        <v>67</v>
      </c>
      <c r="O11" s="28">
        <f>SUMIF($B$5:$B$91,"8月8日",$F$5:$F$91)</f>
        <v>0</v>
      </c>
      <c r="P11" s="28">
        <f>SUMIF($B$5:$B$91,"8月8日",$G$5:$G$91)</f>
        <v>0</v>
      </c>
      <c r="Q11" s="32">
        <f t="shared" si="0"/>
        <v>0</v>
      </c>
    </row>
    <row r="12" spans="1:17" ht="14.25">
      <c r="A12" s="15"/>
      <c r="B12" s="10"/>
      <c r="C12" s="22" t="s">
        <v>33</v>
      </c>
      <c r="D12" s="11"/>
      <c r="E12" s="12"/>
      <c r="F12" s="13"/>
      <c r="G12" s="13"/>
      <c r="H12" s="14">
        <f t="shared" si="1"/>
      </c>
      <c r="J12" s="27" t="str">
        <f>IF('１月'!J12="","",'１月'!J12)</f>
        <v>接待交際費</v>
      </c>
      <c r="K12" s="28">
        <f t="shared" si="2"/>
        <v>0</v>
      </c>
      <c r="M12" s="31">
        <v>40764</v>
      </c>
      <c r="N12" s="42" t="s">
        <v>68</v>
      </c>
      <c r="O12" s="28">
        <f>SUMIF($B$5:$B$91,"8月9日",$F$5:$F$91)</f>
        <v>0</v>
      </c>
      <c r="P12" s="28">
        <f>SUMIF($B$5:$B$91,"8月9日",$G$5:$G$91)</f>
        <v>0</v>
      </c>
      <c r="Q12" s="32">
        <f t="shared" si="0"/>
        <v>0</v>
      </c>
    </row>
    <row r="13" spans="1:17" ht="14.25">
      <c r="A13" s="15"/>
      <c r="B13" s="10"/>
      <c r="C13" s="22" t="s">
        <v>33</v>
      </c>
      <c r="D13" s="11"/>
      <c r="E13" s="12"/>
      <c r="F13" s="13"/>
      <c r="G13" s="13"/>
      <c r="H13" s="14">
        <f t="shared" si="1"/>
      </c>
      <c r="J13" s="27" t="str">
        <f>IF('１月'!J13="","",'１月'!J13)</f>
        <v>損害保険料</v>
      </c>
      <c r="K13" s="28">
        <f t="shared" si="2"/>
        <v>0</v>
      </c>
      <c r="M13" s="31">
        <v>40765</v>
      </c>
      <c r="N13" s="42" t="s">
        <v>69</v>
      </c>
      <c r="O13" s="28">
        <f>SUMIF($B$5:$B$91,"8月10日",$F$5:$F$91)</f>
        <v>0</v>
      </c>
      <c r="P13" s="28">
        <f>SUMIF($B$5:$B$91,"8月10日",$G$5:$G$91)</f>
        <v>0</v>
      </c>
      <c r="Q13" s="32">
        <f t="shared" si="0"/>
        <v>0</v>
      </c>
    </row>
    <row r="14" spans="1:17" ht="14.25">
      <c r="A14" s="15"/>
      <c r="B14" s="10"/>
      <c r="C14" s="22" t="s">
        <v>33</v>
      </c>
      <c r="D14" s="11"/>
      <c r="E14" s="12"/>
      <c r="F14" s="13"/>
      <c r="G14" s="13"/>
      <c r="H14" s="14">
        <f t="shared" si="1"/>
      </c>
      <c r="J14" s="27" t="str">
        <f>IF('１月'!J14="","",'１月'!J14)</f>
        <v>修繕費</v>
      </c>
      <c r="K14" s="28">
        <f t="shared" si="2"/>
        <v>0</v>
      </c>
      <c r="M14" s="31">
        <v>40766</v>
      </c>
      <c r="N14" s="42" t="s">
        <v>70</v>
      </c>
      <c r="O14" s="28">
        <f>SUMIF($B$5:$B$91,"8月11日",$F$5:$F$91)</f>
        <v>0</v>
      </c>
      <c r="P14" s="28">
        <f>SUMIF($B$5:$B$91,"8月11日",$G$5:$G$91)</f>
        <v>0</v>
      </c>
      <c r="Q14" s="32">
        <f t="shared" si="0"/>
        <v>0</v>
      </c>
    </row>
    <row r="15" spans="1:17" ht="14.25">
      <c r="A15" s="15"/>
      <c r="B15" s="10"/>
      <c r="C15" s="22" t="s">
        <v>33</v>
      </c>
      <c r="D15" s="11"/>
      <c r="E15" s="16"/>
      <c r="F15" s="13"/>
      <c r="G15" s="13"/>
      <c r="H15" s="14">
        <f t="shared" si="1"/>
      </c>
      <c r="J15" s="27" t="str">
        <f>IF('１月'!J15="","",'１月'!J15)</f>
        <v>消耗品費</v>
      </c>
      <c r="K15" s="28">
        <f t="shared" si="2"/>
        <v>0</v>
      </c>
      <c r="M15" s="31">
        <v>40767</v>
      </c>
      <c r="N15" s="42" t="s">
        <v>71</v>
      </c>
      <c r="O15" s="28">
        <f>SUMIF($B$5:$B$91,"8月12日",$F$5:$F$91)</f>
        <v>0</v>
      </c>
      <c r="P15" s="28">
        <f>SUMIF($B$5:$B$91,"8月12日",$G$5:$G$91)</f>
        <v>0</v>
      </c>
      <c r="Q15" s="32">
        <f t="shared" si="0"/>
        <v>0</v>
      </c>
    </row>
    <row r="16" spans="1:17" ht="14.25">
      <c r="A16" s="15"/>
      <c r="B16" s="10"/>
      <c r="C16" s="22" t="s">
        <v>33</v>
      </c>
      <c r="D16" s="11"/>
      <c r="E16" s="12"/>
      <c r="F16" s="13"/>
      <c r="G16" s="13"/>
      <c r="H16" s="14">
        <f t="shared" si="1"/>
      </c>
      <c r="J16" s="27" t="str">
        <f>IF('１月'!J16="","",'１月'!J16)</f>
        <v>福利厚生費</v>
      </c>
      <c r="K16" s="28">
        <f t="shared" si="2"/>
        <v>0</v>
      </c>
      <c r="M16" s="31">
        <v>40768</v>
      </c>
      <c r="N16" s="42" t="s">
        <v>72</v>
      </c>
      <c r="O16" s="28">
        <f>SUMIF($B$5:$B$91,"8月13日",$F$5:$F$91)</f>
        <v>0</v>
      </c>
      <c r="P16" s="28">
        <f>SUMIF($B$5:$B$91,"8月13日",$G$5:$G$91)</f>
        <v>0</v>
      </c>
      <c r="Q16" s="32">
        <f t="shared" si="0"/>
        <v>0</v>
      </c>
    </row>
    <row r="17" spans="1:17" ht="14.25">
      <c r="A17" s="15"/>
      <c r="B17" s="10"/>
      <c r="C17" s="22" t="s">
        <v>33</v>
      </c>
      <c r="D17" s="11"/>
      <c r="E17" s="12"/>
      <c r="F17" s="13"/>
      <c r="G17" s="13"/>
      <c r="H17" s="14">
        <f t="shared" si="1"/>
      </c>
      <c r="J17" s="27" t="str">
        <f>IF('１月'!J17="","",'１月'!J17)</f>
        <v>給与賃金</v>
      </c>
      <c r="K17" s="28">
        <f t="shared" si="2"/>
        <v>0</v>
      </c>
      <c r="M17" s="31">
        <v>40769</v>
      </c>
      <c r="N17" s="42" t="s">
        <v>66</v>
      </c>
      <c r="O17" s="28">
        <f>SUMIF($B$5:$B$91,"8月14日",$F$5:$F$91)</f>
        <v>0</v>
      </c>
      <c r="P17" s="28">
        <f>SUMIF($B$5:$B$91,"8月14日",$G$5:$G$91)</f>
        <v>0</v>
      </c>
      <c r="Q17" s="32">
        <f t="shared" si="0"/>
        <v>0</v>
      </c>
    </row>
    <row r="18" spans="1:17" ht="14.25">
      <c r="A18" s="15"/>
      <c r="B18" s="10"/>
      <c r="C18" s="22" t="s">
        <v>33</v>
      </c>
      <c r="D18" s="11"/>
      <c r="E18" s="12"/>
      <c r="F18" s="13"/>
      <c r="G18" s="13"/>
      <c r="H18" s="14">
        <f t="shared" si="1"/>
      </c>
      <c r="J18" s="27" t="str">
        <f>IF('１月'!J18="","",'１月'!J18)</f>
        <v>利子割引料</v>
      </c>
      <c r="K18" s="28">
        <f t="shared" si="2"/>
        <v>0</v>
      </c>
      <c r="M18" s="31">
        <v>40770</v>
      </c>
      <c r="N18" s="42" t="s">
        <v>67</v>
      </c>
      <c r="O18" s="28">
        <f>SUMIF($B$5:$B$91,"8月15日",$F$5:$F$91)</f>
        <v>0</v>
      </c>
      <c r="P18" s="28">
        <f>SUMIF($B$5:$B$91,"8月15日",$G$5:$G$91)</f>
        <v>0</v>
      </c>
      <c r="Q18" s="32">
        <f t="shared" si="0"/>
        <v>0</v>
      </c>
    </row>
    <row r="19" spans="1:17" ht="14.25">
      <c r="A19" s="15"/>
      <c r="B19" s="10"/>
      <c r="C19" s="22" t="s">
        <v>33</v>
      </c>
      <c r="D19" s="11"/>
      <c r="E19" s="12"/>
      <c r="F19" s="13"/>
      <c r="G19" s="13"/>
      <c r="H19" s="14">
        <f t="shared" si="1"/>
      </c>
      <c r="J19" s="27" t="str">
        <f>IF('１月'!J19="","",'１月'!J19)</f>
        <v>地代家賃</v>
      </c>
      <c r="K19" s="28">
        <f t="shared" si="2"/>
        <v>0</v>
      </c>
      <c r="M19" s="31">
        <v>40771</v>
      </c>
      <c r="N19" s="42" t="s">
        <v>68</v>
      </c>
      <c r="O19" s="28">
        <f>SUMIF($B$5:$B$91,"8月16日",$F$5:$F$91)</f>
        <v>0</v>
      </c>
      <c r="P19" s="28">
        <f>SUMIF($B$5:$B$91,"8月16日",$G$5:$G$91)</f>
        <v>0</v>
      </c>
      <c r="Q19" s="32">
        <f t="shared" si="0"/>
        <v>0</v>
      </c>
    </row>
    <row r="20" spans="1:17" ht="14.25">
      <c r="A20" s="15"/>
      <c r="B20" s="10"/>
      <c r="C20" s="22" t="s">
        <v>33</v>
      </c>
      <c r="D20" s="11"/>
      <c r="E20" s="12"/>
      <c r="F20" s="13"/>
      <c r="G20" s="13"/>
      <c r="H20" s="14">
        <f t="shared" si="1"/>
      </c>
      <c r="J20" s="27" t="str">
        <f>IF('１月'!J20="","",'１月'!J20)</f>
        <v>貸倒金</v>
      </c>
      <c r="K20" s="28">
        <f t="shared" si="2"/>
        <v>0</v>
      </c>
      <c r="M20" s="31">
        <v>40772</v>
      </c>
      <c r="N20" s="42" t="s">
        <v>69</v>
      </c>
      <c r="O20" s="28">
        <f>SUMIF($B$5:$B$91,"8月17日",$F$5:$F$91)</f>
        <v>0</v>
      </c>
      <c r="P20" s="28">
        <f>SUMIF($B$5:$B$91,"8月17日",$G$5:$G$91)</f>
        <v>0</v>
      </c>
      <c r="Q20" s="32">
        <f t="shared" si="0"/>
        <v>0</v>
      </c>
    </row>
    <row r="21" spans="1:17" ht="14.25">
      <c r="A21" s="15"/>
      <c r="B21" s="10"/>
      <c r="C21" s="22" t="s">
        <v>33</v>
      </c>
      <c r="D21" s="11"/>
      <c r="E21" s="16"/>
      <c r="F21" s="13"/>
      <c r="G21" s="13"/>
      <c r="H21" s="14">
        <f t="shared" si="1"/>
      </c>
      <c r="J21" s="27" t="str">
        <f>IF('１月'!J21="","",'１月'!J21)</f>
        <v>専従者給与</v>
      </c>
      <c r="K21" s="28">
        <f t="shared" si="2"/>
        <v>0</v>
      </c>
      <c r="M21" s="31">
        <v>40773</v>
      </c>
      <c r="N21" s="42" t="s">
        <v>70</v>
      </c>
      <c r="O21" s="28">
        <f>SUMIF($B$5:$B$91,"8月18日",$F$5:$F$91)</f>
        <v>0</v>
      </c>
      <c r="P21" s="28">
        <f>SUMIF($B$5:$B$91,"8月18日",$G$5:$G$91)</f>
        <v>0</v>
      </c>
      <c r="Q21" s="32">
        <f t="shared" si="0"/>
        <v>0</v>
      </c>
    </row>
    <row r="22" spans="1:17" ht="14.25">
      <c r="A22" s="15"/>
      <c r="B22" s="10"/>
      <c r="C22" s="22" t="s">
        <v>33</v>
      </c>
      <c r="D22" s="11"/>
      <c r="E22" s="12"/>
      <c r="F22" s="13"/>
      <c r="G22" s="13"/>
      <c r="H22" s="14">
        <f t="shared" si="1"/>
      </c>
      <c r="J22" s="27" t="str">
        <f>IF('１月'!J22="","",'１月'!J22)</f>
        <v>リース料</v>
      </c>
      <c r="K22" s="28">
        <f t="shared" si="2"/>
        <v>0</v>
      </c>
      <c r="M22" s="31">
        <v>40774</v>
      </c>
      <c r="N22" s="42" t="s">
        <v>71</v>
      </c>
      <c r="O22" s="28">
        <f>SUMIF($B$5:$B$91,"8月19日",$F$5:$F$91)</f>
        <v>0</v>
      </c>
      <c r="P22" s="28">
        <f>SUMIF($B$5:$B$91,"8月19日",$G$5:$G$91)</f>
        <v>0</v>
      </c>
      <c r="Q22" s="32">
        <f t="shared" si="0"/>
        <v>0</v>
      </c>
    </row>
    <row r="23" spans="1:17" ht="14.25">
      <c r="A23" s="15"/>
      <c r="B23" s="10"/>
      <c r="C23" s="22" t="s">
        <v>33</v>
      </c>
      <c r="D23" s="11"/>
      <c r="E23" s="12"/>
      <c r="F23" s="13"/>
      <c r="G23" s="13"/>
      <c r="H23" s="14">
        <f t="shared" si="1"/>
      </c>
      <c r="J23" s="27" t="str">
        <f>IF('１月'!J23="","",'１月'!J23)</f>
        <v>外注費</v>
      </c>
      <c r="K23" s="28">
        <f t="shared" si="2"/>
        <v>0</v>
      </c>
      <c r="M23" s="31">
        <v>40775</v>
      </c>
      <c r="N23" s="42" t="s">
        <v>72</v>
      </c>
      <c r="O23" s="28">
        <f>SUMIF($B$5:$B$91,"8月20日",$F$5:$F$91)</f>
        <v>0</v>
      </c>
      <c r="P23" s="28">
        <f>SUMIF($B$5:$B$91,"8月20日",$G$5:$G$91)</f>
        <v>0</v>
      </c>
      <c r="Q23" s="32">
        <f t="shared" si="0"/>
        <v>0</v>
      </c>
    </row>
    <row r="24" spans="1:17" ht="14.25">
      <c r="A24" s="15"/>
      <c r="B24" s="10"/>
      <c r="C24" s="22" t="s">
        <v>33</v>
      </c>
      <c r="D24" s="11"/>
      <c r="E24" s="12"/>
      <c r="F24" s="13"/>
      <c r="G24" s="13"/>
      <c r="H24" s="14">
        <f t="shared" si="1"/>
      </c>
      <c r="J24" s="27">
        <f>IF('１月'!J24="","",'１月'!J24)</f>
      </c>
      <c r="K24" s="28">
        <f t="shared" si="2"/>
        <v>0</v>
      </c>
      <c r="M24" s="31">
        <v>40776</v>
      </c>
      <c r="N24" s="42" t="s">
        <v>66</v>
      </c>
      <c r="O24" s="28">
        <f>SUMIF($B$5:$B$91,"8月21日",$F$5:$F$91)</f>
        <v>0</v>
      </c>
      <c r="P24" s="28">
        <f>SUMIF($B$5:$B$91,"8月21日",$G$5:$G$91)</f>
        <v>0</v>
      </c>
      <c r="Q24" s="32">
        <f t="shared" si="0"/>
        <v>0</v>
      </c>
    </row>
    <row r="25" spans="1:17" ht="14.25">
      <c r="A25" s="15"/>
      <c r="B25" s="10"/>
      <c r="C25" s="22" t="s">
        <v>33</v>
      </c>
      <c r="D25" s="11"/>
      <c r="E25" s="12"/>
      <c r="F25" s="13"/>
      <c r="G25" s="13"/>
      <c r="H25" s="14">
        <f t="shared" si="1"/>
      </c>
      <c r="J25" s="27" t="str">
        <f>IF('１月'!J25="","",'１月'!J25)</f>
        <v>　</v>
      </c>
      <c r="K25" s="28">
        <f t="shared" si="2"/>
        <v>0</v>
      </c>
      <c r="M25" s="31">
        <v>40777</v>
      </c>
      <c r="N25" s="42" t="s">
        <v>67</v>
      </c>
      <c r="O25" s="28">
        <f>SUMIF($B$5:$B$91,"8月22日",$F$5:$F$91)</f>
        <v>0</v>
      </c>
      <c r="P25" s="28">
        <f>SUMIF($B$5:$B$91,"8月22日",$G$5:$G$91)</f>
        <v>0</v>
      </c>
      <c r="Q25" s="32">
        <f t="shared" si="0"/>
        <v>0</v>
      </c>
    </row>
    <row r="26" spans="1:17" ht="14.25">
      <c r="A26" s="15"/>
      <c r="B26" s="10"/>
      <c r="C26" s="22" t="s">
        <v>33</v>
      </c>
      <c r="D26" s="11"/>
      <c r="E26" s="12"/>
      <c r="F26" s="13"/>
      <c r="G26" s="13"/>
      <c r="H26" s="14">
        <f t="shared" si="1"/>
      </c>
      <c r="J26" s="27">
        <f>IF('１月'!J26="","",'１月'!J26)</f>
      </c>
      <c r="K26" s="28">
        <f t="shared" si="2"/>
        <v>0</v>
      </c>
      <c r="M26" s="31">
        <v>40778</v>
      </c>
      <c r="N26" s="42" t="s">
        <v>68</v>
      </c>
      <c r="O26" s="28">
        <f>SUMIF($B$5:$B$91,"8月23日",$F$5:$F$91)</f>
        <v>0</v>
      </c>
      <c r="P26" s="28">
        <f>SUMIF($B$5:$B$91,"8月23日",$G$5:$G$91)</f>
        <v>0</v>
      </c>
      <c r="Q26" s="32">
        <f t="shared" si="0"/>
        <v>0</v>
      </c>
    </row>
    <row r="27" spans="1:17" ht="14.25">
      <c r="A27" s="15"/>
      <c r="B27" s="10"/>
      <c r="C27" s="22" t="s">
        <v>33</v>
      </c>
      <c r="D27" s="11"/>
      <c r="E27" s="12"/>
      <c r="F27" s="13"/>
      <c r="G27" s="13"/>
      <c r="H27" s="14">
        <f t="shared" si="1"/>
      </c>
      <c r="J27" s="27">
        <f>IF('１月'!J27="","",'１月'!J27)</f>
      </c>
      <c r="K27" s="28">
        <f t="shared" si="2"/>
        <v>0</v>
      </c>
      <c r="M27" s="31">
        <v>40779</v>
      </c>
      <c r="N27" s="42" t="s">
        <v>69</v>
      </c>
      <c r="O27" s="28">
        <f>SUMIF($B$5:$B$91,"8月24日",$F$5:$F$91)</f>
        <v>0</v>
      </c>
      <c r="P27" s="28">
        <f>SUMIF($B$5:$B$91,"8月24日",$G$5:$G$91)</f>
        <v>0</v>
      </c>
      <c r="Q27" s="32">
        <f t="shared" si="0"/>
        <v>0</v>
      </c>
    </row>
    <row r="28" spans="1:17" ht="14.25">
      <c r="A28" s="15"/>
      <c r="B28" s="10"/>
      <c r="C28" s="22" t="s">
        <v>33</v>
      </c>
      <c r="D28" s="11"/>
      <c r="E28" s="12"/>
      <c r="F28" s="13"/>
      <c r="G28" s="13"/>
      <c r="H28" s="14">
        <f t="shared" si="1"/>
      </c>
      <c r="J28" s="27" t="str">
        <f>IF('１月'!J28="","",'１月'!J28)</f>
        <v>雑費</v>
      </c>
      <c r="K28" s="28">
        <f t="shared" si="2"/>
        <v>0</v>
      </c>
      <c r="M28" s="31">
        <v>40780</v>
      </c>
      <c r="N28" s="42" t="s">
        <v>70</v>
      </c>
      <c r="O28" s="28">
        <f>SUMIF($B$5:$B$91,"8月25日",$F$5:$F$91)</f>
        <v>0</v>
      </c>
      <c r="P28" s="28">
        <f>SUMIF($B$5:$B$91,"8月25日",$G$5:$G$91)</f>
        <v>0</v>
      </c>
      <c r="Q28" s="32">
        <f t="shared" si="0"/>
        <v>0</v>
      </c>
    </row>
    <row r="29" spans="1:17" ht="14.25">
      <c r="A29" s="15"/>
      <c r="B29" s="10"/>
      <c r="C29" s="22" t="s">
        <v>33</v>
      </c>
      <c r="D29" s="11"/>
      <c r="E29" s="12"/>
      <c r="F29" s="13"/>
      <c r="G29" s="13"/>
      <c r="H29" s="14">
        <f t="shared" si="1"/>
      </c>
      <c r="J29" s="27" t="str">
        <f>IF('１月'!J29="","",'１月'!J29)</f>
        <v>経費合計</v>
      </c>
      <c r="K29" s="28">
        <f>SUM(K6:K28)</f>
        <v>0</v>
      </c>
      <c r="M29" s="31">
        <v>40781</v>
      </c>
      <c r="N29" s="42" t="s">
        <v>71</v>
      </c>
      <c r="O29" s="28">
        <f>SUMIF($B$5:$B$91,"8月26日",$F$5:$F$91)</f>
        <v>0</v>
      </c>
      <c r="P29" s="28">
        <f>SUMIF($B$5:$B$91,"8月26日",$G$5:$G$91)</f>
        <v>0</v>
      </c>
      <c r="Q29" s="32">
        <f t="shared" si="0"/>
        <v>0</v>
      </c>
    </row>
    <row r="30" spans="1:17" ht="14.25">
      <c r="A30" s="15"/>
      <c r="B30" s="10"/>
      <c r="C30" s="22" t="s">
        <v>33</v>
      </c>
      <c r="D30" s="11"/>
      <c r="E30" s="12"/>
      <c r="F30" s="13"/>
      <c r="G30" s="13"/>
      <c r="H30" s="14">
        <f t="shared" si="1"/>
      </c>
      <c r="J30" s="27" t="str">
        <f>IF('１月'!J30="","",'１月'!J30)</f>
        <v>利益</v>
      </c>
      <c r="K30" s="28">
        <f>K5-K29</f>
        <v>0</v>
      </c>
      <c r="M30" s="31">
        <v>40782</v>
      </c>
      <c r="N30" s="42" t="s">
        <v>72</v>
      </c>
      <c r="O30" s="28">
        <f>SUMIF($B$5:$B$91,"8月27日",$F$5:$F$91)</f>
        <v>0</v>
      </c>
      <c r="P30" s="28">
        <f>SUMIF($B$5:$B$91,"8月27日",$G$5:$G$91)</f>
        <v>0</v>
      </c>
      <c r="Q30" s="32">
        <f t="shared" si="0"/>
        <v>0</v>
      </c>
    </row>
    <row r="31" spans="1:17" ht="13.5">
      <c r="A31" s="15"/>
      <c r="B31" s="10"/>
      <c r="C31" s="22" t="s">
        <v>33</v>
      </c>
      <c r="D31" s="11"/>
      <c r="E31" s="12"/>
      <c r="F31" s="13"/>
      <c r="G31" s="13"/>
      <c r="H31" s="14">
        <f t="shared" si="1"/>
      </c>
      <c r="J31" s="27" t="str">
        <f>IF('１月'!J31="","",'１月'!J31)</f>
        <v>入金</v>
      </c>
      <c r="K31" s="28">
        <f>SUMIF($C$5:$C$91,J31,$F$5:$F$91)</f>
        <v>0</v>
      </c>
      <c r="M31" s="31">
        <v>40783</v>
      </c>
      <c r="N31" s="42" t="s">
        <v>66</v>
      </c>
      <c r="O31" s="28">
        <f>SUMIF($B$5:$B$91,"8月28日",$F$5:$F$91)</f>
        <v>0</v>
      </c>
      <c r="P31" s="28">
        <f>SUMIF($B$5:$B$91,"8月28日",$G$5:$G$91)</f>
        <v>0</v>
      </c>
      <c r="Q31" s="32">
        <f t="shared" si="0"/>
        <v>0</v>
      </c>
    </row>
    <row r="32" spans="1:17" ht="13.5">
      <c r="A32" s="15"/>
      <c r="B32" s="10"/>
      <c r="C32" s="22" t="s">
        <v>33</v>
      </c>
      <c r="D32" s="11"/>
      <c r="E32" s="12"/>
      <c r="F32" s="13"/>
      <c r="G32" s="13"/>
      <c r="H32" s="14">
        <f t="shared" si="1"/>
      </c>
      <c r="J32" s="27" t="str">
        <f>IF('１月'!J32="","",'１月'!J32)</f>
        <v>その他支払い</v>
      </c>
      <c r="K32" s="28">
        <f>SUMIF($C$5:$C$91,J32,$G$5:$G$91)</f>
        <v>0</v>
      </c>
      <c r="M32" s="31">
        <v>40784</v>
      </c>
      <c r="N32" s="42" t="s">
        <v>67</v>
      </c>
      <c r="O32" s="28">
        <f>SUMIF($B$5:$B$91,"8月29日",$F$5:$F$91)</f>
        <v>0</v>
      </c>
      <c r="P32" s="28">
        <f>SUMIF($B$5:$B$91,"8月29日",$G$5:$G$91)</f>
        <v>0</v>
      </c>
      <c r="Q32" s="32">
        <f t="shared" si="0"/>
        <v>0</v>
      </c>
    </row>
    <row r="33" spans="1:17" ht="13.5">
      <c r="A33" s="15"/>
      <c r="B33" s="10"/>
      <c r="C33" s="22" t="s">
        <v>33</v>
      </c>
      <c r="D33" s="11"/>
      <c r="E33" s="12"/>
      <c r="F33" s="13"/>
      <c r="G33" s="13"/>
      <c r="H33" s="14">
        <f t="shared" si="1"/>
      </c>
      <c r="K33" s="3"/>
      <c r="M33" s="31">
        <v>40785</v>
      </c>
      <c r="N33" s="42" t="s">
        <v>68</v>
      </c>
      <c r="O33" s="28">
        <f>SUMIF($B$5:$B$91,"8月30日",$F$5:$F$91)</f>
        <v>0</v>
      </c>
      <c r="P33" s="28">
        <f>SUMIF($B$5:$B$91,"8月30日",$G$5:$G$91)</f>
        <v>0</v>
      </c>
      <c r="Q33" s="32">
        <f t="shared" si="0"/>
        <v>0</v>
      </c>
    </row>
    <row r="34" spans="1:17" ht="13.5">
      <c r="A34" s="15"/>
      <c r="B34" s="10"/>
      <c r="C34" s="22" t="s">
        <v>33</v>
      </c>
      <c r="D34" s="11"/>
      <c r="E34" s="12"/>
      <c r="F34" s="13"/>
      <c r="G34" s="13"/>
      <c r="H34" s="14">
        <f t="shared" si="1"/>
      </c>
      <c r="K34" s="3"/>
      <c r="M34" s="31">
        <v>40786</v>
      </c>
      <c r="N34" s="42" t="s">
        <v>69</v>
      </c>
      <c r="O34" s="28">
        <f>SUMIF($B$5:$B$91,"8月31日",$F$5:$F$91)</f>
        <v>0</v>
      </c>
      <c r="P34" s="28">
        <f>SUMIF($B$5:$B$91,"8月31日",$G$5:$G$91)</f>
        <v>0</v>
      </c>
      <c r="Q34" s="32">
        <f t="shared" si="0"/>
        <v>0</v>
      </c>
    </row>
    <row r="35" spans="1:17" ht="13.5">
      <c r="A35" s="15"/>
      <c r="B35" s="10"/>
      <c r="C35" s="22" t="s">
        <v>33</v>
      </c>
      <c r="D35" s="11"/>
      <c r="E35" s="12"/>
      <c r="F35" s="13"/>
      <c r="G35" s="13"/>
      <c r="H35" s="14">
        <f t="shared" si="1"/>
      </c>
      <c r="K35" s="3"/>
      <c r="M35" s="27"/>
      <c r="N35" s="27"/>
      <c r="O35" s="32">
        <f>SUM(O4:O34)</f>
        <v>0</v>
      </c>
      <c r="P35" s="32">
        <f>SUM(P4:P34)</f>
        <v>0</v>
      </c>
      <c r="Q35" s="32">
        <f t="shared" si="0"/>
        <v>0</v>
      </c>
    </row>
    <row r="36" spans="1:8" ht="13.5">
      <c r="A36" s="15"/>
      <c r="B36" s="10"/>
      <c r="C36" s="22" t="s">
        <v>33</v>
      </c>
      <c r="D36" s="11"/>
      <c r="E36" s="12"/>
      <c r="F36" s="13"/>
      <c r="G36" s="13"/>
      <c r="H36" s="14">
        <f t="shared" si="1"/>
      </c>
    </row>
    <row r="37" spans="1:11" ht="13.5">
      <c r="A37" s="15"/>
      <c r="B37" s="10"/>
      <c r="C37" s="22" t="s">
        <v>33</v>
      </c>
      <c r="D37" s="11"/>
      <c r="E37" s="12"/>
      <c r="F37" s="13"/>
      <c r="G37" s="13"/>
      <c r="H37" s="14">
        <f t="shared" si="1"/>
      </c>
      <c r="J37" s="27">
        <f>IF('１月'!J37="","",'１月'!J37)</f>
      </c>
      <c r="K37" s="28">
        <f aca="true" t="shared" si="3" ref="K37:K46">SUMIF($D$5:$D$91,J37,$G$5:$G$91)</f>
        <v>0</v>
      </c>
    </row>
    <row r="38" spans="1:11" ht="13.5">
      <c r="A38" s="15"/>
      <c r="B38" s="10"/>
      <c r="C38" s="22" t="s">
        <v>33</v>
      </c>
      <c r="D38" s="11"/>
      <c r="E38" s="12"/>
      <c r="F38" s="13"/>
      <c r="G38" s="13"/>
      <c r="H38" s="14">
        <f t="shared" si="1"/>
      </c>
      <c r="J38" s="27">
        <f>IF('１月'!J38="","",'１月'!J38)</f>
      </c>
      <c r="K38" s="28">
        <f t="shared" si="3"/>
        <v>0</v>
      </c>
    </row>
    <row r="39" spans="1:11" ht="13.5">
      <c r="A39" s="15"/>
      <c r="B39" s="10"/>
      <c r="C39" s="22" t="s">
        <v>33</v>
      </c>
      <c r="D39" s="11"/>
      <c r="E39" s="12"/>
      <c r="F39" s="13"/>
      <c r="G39" s="13"/>
      <c r="H39" s="14">
        <f t="shared" si="1"/>
      </c>
      <c r="J39" s="27">
        <f>IF('１月'!J39="","",'１月'!J39)</f>
      </c>
      <c r="K39" s="28">
        <f t="shared" si="3"/>
        <v>0</v>
      </c>
    </row>
    <row r="40" spans="1:11" ht="13.5">
      <c r="A40" s="15"/>
      <c r="B40" s="10"/>
      <c r="C40" s="22" t="s">
        <v>33</v>
      </c>
      <c r="D40" s="11"/>
      <c r="E40" s="12"/>
      <c r="F40" s="13"/>
      <c r="G40" s="13"/>
      <c r="H40" s="14">
        <f t="shared" si="1"/>
      </c>
      <c r="J40" s="27">
        <f>IF('１月'!J40="","",'１月'!J40)</f>
      </c>
      <c r="K40" s="28">
        <f t="shared" si="3"/>
        <v>0</v>
      </c>
    </row>
    <row r="41" spans="1:11" ht="13.5">
      <c r="A41" s="15"/>
      <c r="B41" s="10"/>
      <c r="C41" s="22" t="s">
        <v>33</v>
      </c>
      <c r="D41" s="11"/>
      <c r="E41" s="12"/>
      <c r="F41" s="13"/>
      <c r="G41" s="13"/>
      <c r="H41" s="14">
        <f t="shared" si="1"/>
      </c>
      <c r="J41" s="27">
        <f>IF('１月'!J41="","",'１月'!J41)</f>
      </c>
      <c r="K41" s="28">
        <f t="shared" si="3"/>
        <v>0</v>
      </c>
    </row>
    <row r="42" spans="1:11" ht="13.5">
      <c r="A42" s="15"/>
      <c r="B42" s="10"/>
      <c r="C42" s="22" t="s">
        <v>33</v>
      </c>
      <c r="D42" s="11"/>
      <c r="E42" s="12"/>
      <c r="F42" s="13"/>
      <c r="G42" s="13"/>
      <c r="H42" s="14">
        <f t="shared" si="1"/>
      </c>
      <c r="J42" s="27">
        <f>IF('１月'!J42="","",'１月'!J42)</f>
      </c>
      <c r="K42" s="28">
        <f t="shared" si="3"/>
        <v>0</v>
      </c>
    </row>
    <row r="43" spans="1:11" ht="13.5">
      <c r="A43" s="15"/>
      <c r="B43" s="10"/>
      <c r="C43" s="22" t="s">
        <v>33</v>
      </c>
      <c r="D43" s="11"/>
      <c r="E43" s="12"/>
      <c r="F43" s="13"/>
      <c r="G43" s="13"/>
      <c r="H43" s="14">
        <f t="shared" si="1"/>
      </c>
      <c r="J43" s="27">
        <f>IF('１月'!J43="","",'１月'!J43)</f>
      </c>
      <c r="K43" s="28">
        <f t="shared" si="3"/>
        <v>0</v>
      </c>
    </row>
    <row r="44" spans="1:11" ht="13.5">
      <c r="A44" s="15"/>
      <c r="B44" s="10"/>
      <c r="C44" s="22" t="s">
        <v>33</v>
      </c>
      <c r="D44" s="11"/>
      <c r="E44" s="12"/>
      <c r="F44" s="13"/>
      <c r="G44" s="13"/>
      <c r="H44" s="14">
        <f t="shared" si="1"/>
      </c>
      <c r="J44" s="27">
        <f>IF('１月'!J44="","",'１月'!J44)</f>
      </c>
      <c r="K44" s="28">
        <f t="shared" si="3"/>
        <v>0</v>
      </c>
    </row>
    <row r="45" spans="1:11" ht="13.5">
      <c r="A45" s="15"/>
      <c r="B45" s="10"/>
      <c r="C45" s="22" t="s">
        <v>33</v>
      </c>
      <c r="D45" s="11"/>
      <c r="E45" s="12"/>
      <c r="F45" s="13"/>
      <c r="G45" s="13"/>
      <c r="H45" s="14">
        <f t="shared" si="1"/>
      </c>
      <c r="J45" s="27">
        <f>IF('１月'!J45="","",'１月'!J45)</f>
      </c>
      <c r="K45" s="28">
        <f t="shared" si="3"/>
        <v>0</v>
      </c>
    </row>
    <row r="46" spans="1:11" ht="13.5">
      <c r="A46" s="15"/>
      <c r="B46" s="10"/>
      <c r="C46" s="22" t="s">
        <v>33</v>
      </c>
      <c r="D46" s="11"/>
      <c r="E46" s="12"/>
      <c r="F46" s="13"/>
      <c r="G46" s="13"/>
      <c r="H46" s="14">
        <f t="shared" si="1"/>
      </c>
      <c r="J46" s="27">
        <f>IF('１月'!J46="","",'１月'!J46)</f>
      </c>
      <c r="K46" s="28">
        <f t="shared" si="3"/>
        <v>0</v>
      </c>
    </row>
    <row r="47" spans="1:8" ht="13.5">
      <c r="A47" s="15"/>
      <c r="B47" s="10"/>
      <c r="C47" s="22" t="s">
        <v>33</v>
      </c>
      <c r="D47" s="11"/>
      <c r="E47" s="12"/>
      <c r="F47" s="13"/>
      <c r="G47" s="13"/>
      <c r="H47" s="14">
        <f t="shared" si="1"/>
      </c>
    </row>
    <row r="48" spans="1:8" ht="13.5">
      <c r="A48" s="15"/>
      <c r="B48" s="10"/>
      <c r="C48" s="22" t="s">
        <v>33</v>
      </c>
      <c r="D48" s="11"/>
      <c r="E48" s="12"/>
      <c r="F48" s="13"/>
      <c r="G48" s="13"/>
      <c r="H48" s="14">
        <f t="shared" si="1"/>
      </c>
    </row>
    <row r="49" spans="1:8" ht="13.5">
      <c r="A49" s="15"/>
      <c r="B49" s="10"/>
      <c r="C49" s="22" t="s">
        <v>33</v>
      </c>
      <c r="D49" s="11"/>
      <c r="E49" s="12"/>
      <c r="F49" s="13"/>
      <c r="G49" s="13"/>
      <c r="H49" s="14">
        <f t="shared" si="1"/>
      </c>
    </row>
    <row r="50" spans="1:8" ht="13.5">
      <c r="A50" s="15"/>
      <c r="B50" s="10"/>
      <c r="C50" s="22" t="s">
        <v>33</v>
      </c>
      <c r="D50" s="11"/>
      <c r="E50" s="12"/>
      <c r="F50" s="13"/>
      <c r="G50" s="13"/>
      <c r="H50" s="14">
        <f t="shared" si="1"/>
      </c>
    </row>
    <row r="51" spans="1:8" ht="13.5">
      <c r="A51" s="15"/>
      <c r="B51" s="10"/>
      <c r="C51" s="22" t="s">
        <v>33</v>
      </c>
      <c r="D51" s="11"/>
      <c r="E51" s="12"/>
      <c r="F51" s="13"/>
      <c r="G51" s="13"/>
      <c r="H51" s="14">
        <f t="shared" si="1"/>
      </c>
    </row>
    <row r="52" spans="1:8" ht="13.5">
      <c r="A52" s="15"/>
      <c r="B52" s="10"/>
      <c r="C52" s="22" t="s">
        <v>33</v>
      </c>
      <c r="D52" s="11"/>
      <c r="E52" s="12"/>
      <c r="F52" s="13"/>
      <c r="G52" s="13"/>
      <c r="H52" s="14">
        <f t="shared" si="1"/>
      </c>
    </row>
    <row r="53" spans="1:8" ht="13.5">
      <c r="A53" s="15"/>
      <c r="B53" s="10"/>
      <c r="C53" s="22" t="s">
        <v>33</v>
      </c>
      <c r="D53" s="11"/>
      <c r="E53" s="12"/>
      <c r="F53" s="13"/>
      <c r="G53" s="13"/>
      <c r="H53" s="14">
        <f t="shared" si="1"/>
      </c>
    </row>
    <row r="54" spans="1:8" ht="13.5">
      <c r="A54" s="15"/>
      <c r="B54" s="10"/>
      <c r="C54" s="22" t="s">
        <v>33</v>
      </c>
      <c r="D54" s="11"/>
      <c r="E54" s="12"/>
      <c r="F54" s="13"/>
      <c r="G54" s="13"/>
      <c r="H54" s="14">
        <f t="shared" si="1"/>
      </c>
    </row>
    <row r="55" spans="1:8" ht="13.5">
      <c r="A55" s="15"/>
      <c r="B55" s="10"/>
      <c r="C55" s="22" t="s">
        <v>33</v>
      </c>
      <c r="D55" s="11"/>
      <c r="E55" s="12"/>
      <c r="F55" s="13"/>
      <c r="G55" s="13"/>
      <c r="H55" s="14">
        <f t="shared" si="1"/>
      </c>
    </row>
    <row r="56" spans="1:8" ht="13.5">
      <c r="A56" s="15"/>
      <c r="B56" s="10"/>
      <c r="C56" s="22" t="s">
        <v>33</v>
      </c>
      <c r="D56" s="11"/>
      <c r="E56" s="12"/>
      <c r="F56" s="13"/>
      <c r="G56" s="13"/>
      <c r="H56" s="14">
        <f t="shared" si="1"/>
      </c>
    </row>
    <row r="57" spans="1:8" ht="13.5">
      <c r="A57" s="15"/>
      <c r="B57" s="10"/>
      <c r="C57" s="22" t="s">
        <v>33</v>
      </c>
      <c r="D57" s="11"/>
      <c r="E57" s="12"/>
      <c r="F57" s="13"/>
      <c r="G57" s="13"/>
      <c r="H57" s="14">
        <f t="shared" si="1"/>
      </c>
    </row>
    <row r="58" spans="1:8" ht="13.5">
      <c r="A58" s="15"/>
      <c r="B58" s="10"/>
      <c r="C58" s="22" t="s">
        <v>33</v>
      </c>
      <c r="D58" s="11"/>
      <c r="E58" s="12"/>
      <c r="F58" s="13"/>
      <c r="G58" s="13"/>
      <c r="H58" s="14">
        <f t="shared" si="1"/>
      </c>
    </row>
    <row r="59" spans="1:8" ht="13.5">
      <c r="A59" s="15"/>
      <c r="B59" s="10"/>
      <c r="C59" s="22" t="s">
        <v>33</v>
      </c>
      <c r="D59" s="11"/>
      <c r="E59" s="12"/>
      <c r="F59" s="13"/>
      <c r="G59" s="13"/>
      <c r="H59" s="14">
        <f t="shared" si="1"/>
      </c>
    </row>
    <row r="60" spans="1:8" ht="13.5">
      <c r="A60" s="15"/>
      <c r="B60" s="10"/>
      <c r="C60" s="22" t="s">
        <v>33</v>
      </c>
      <c r="D60" s="11"/>
      <c r="E60" s="12"/>
      <c r="F60" s="13"/>
      <c r="G60" s="13"/>
      <c r="H60" s="14">
        <f t="shared" si="1"/>
      </c>
    </row>
    <row r="61" spans="1:8" ht="13.5">
      <c r="A61" s="15"/>
      <c r="B61" s="10"/>
      <c r="C61" s="22" t="s">
        <v>33</v>
      </c>
      <c r="D61" s="11"/>
      <c r="E61" s="12"/>
      <c r="F61" s="13"/>
      <c r="G61" s="13"/>
      <c r="H61" s="14">
        <f t="shared" si="1"/>
      </c>
    </row>
    <row r="62" spans="1:8" ht="13.5">
      <c r="A62" s="15"/>
      <c r="B62" s="10"/>
      <c r="C62" s="22" t="s">
        <v>33</v>
      </c>
      <c r="D62" s="11"/>
      <c r="E62" s="12"/>
      <c r="F62" s="13"/>
      <c r="G62" s="13"/>
      <c r="H62" s="14">
        <f t="shared" si="1"/>
      </c>
    </row>
    <row r="63" spans="1:8" ht="13.5">
      <c r="A63" s="15"/>
      <c r="B63" s="10"/>
      <c r="C63" s="22" t="s">
        <v>33</v>
      </c>
      <c r="D63" s="11"/>
      <c r="E63" s="12"/>
      <c r="F63" s="13"/>
      <c r="G63" s="13"/>
      <c r="H63" s="14">
        <f t="shared" si="1"/>
      </c>
    </row>
    <row r="64" spans="1:8" ht="13.5">
      <c r="A64" s="15"/>
      <c r="B64" s="10"/>
      <c r="C64" s="22" t="s">
        <v>33</v>
      </c>
      <c r="D64" s="11"/>
      <c r="E64" s="12"/>
      <c r="F64" s="13"/>
      <c r="G64" s="13"/>
      <c r="H64" s="14">
        <f t="shared" si="1"/>
      </c>
    </row>
    <row r="65" spans="1:8" ht="13.5">
      <c r="A65" s="15"/>
      <c r="B65" s="10"/>
      <c r="C65" s="22" t="s">
        <v>33</v>
      </c>
      <c r="D65" s="11"/>
      <c r="E65" s="12"/>
      <c r="F65" s="13"/>
      <c r="G65" s="13"/>
      <c r="H65" s="14">
        <f t="shared" si="1"/>
      </c>
    </row>
    <row r="66" spans="1:8" ht="13.5">
      <c r="A66" s="15"/>
      <c r="B66" s="10"/>
      <c r="C66" s="22" t="s">
        <v>33</v>
      </c>
      <c r="D66" s="11"/>
      <c r="E66" s="12"/>
      <c r="F66" s="13"/>
      <c r="G66" s="13"/>
      <c r="H66" s="14">
        <f t="shared" si="1"/>
      </c>
    </row>
    <row r="67" spans="1:8" ht="13.5">
      <c r="A67" s="15"/>
      <c r="B67" s="10"/>
      <c r="C67" s="22" t="s">
        <v>33</v>
      </c>
      <c r="D67" s="11"/>
      <c r="E67" s="12"/>
      <c r="F67" s="13"/>
      <c r="G67" s="13"/>
      <c r="H67" s="14">
        <f t="shared" si="1"/>
      </c>
    </row>
    <row r="68" spans="1:8" ht="13.5">
      <c r="A68" s="15"/>
      <c r="B68" s="10"/>
      <c r="C68" s="22" t="s">
        <v>33</v>
      </c>
      <c r="D68" s="11"/>
      <c r="E68" s="12"/>
      <c r="F68" s="13"/>
      <c r="G68" s="13"/>
      <c r="H68" s="14">
        <f t="shared" si="1"/>
      </c>
    </row>
    <row r="69" spans="1:8" ht="13.5">
      <c r="A69" s="15"/>
      <c r="B69" s="10"/>
      <c r="C69" s="22" t="s">
        <v>33</v>
      </c>
      <c r="D69" s="11"/>
      <c r="E69" s="12"/>
      <c r="F69" s="13"/>
      <c r="G69" s="13"/>
      <c r="H69" s="14">
        <f t="shared" si="1"/>
      </c>
    </row>
    <row r="70" spans="1:8" ht="13.5">
      <c r="A70" s="15"/>
      <c r="B70" s="10"/>
      <c r="C70" s="22" t="s">
        <v>33</v>
      </c>
      <c r="D70" s="11"/>
      <c r="E70" s="12"/>
      <c r="F70" s="13"/>
      <c r="G70" s="13"/>
      <c r="H70" s="14">
        <f aca="true" t="shared" si="4" ref="H70:H91">IF(OR(H69="",AND(F70="",G70="")),"",H69+F70-G70)</f>
      </c>
    </row>
    <row r="71" spans="1:8" ht="13.5">
      <c r="A71" s="15"/>
      <c r="B71" s="10"/>
      <c r="C71" s="22" t="s">
        <v>33</v>
      </c>
      <c r="D71" s="11"/>
      <c r="E71" s="12"/>
      <c r="F71" s="13"/>
      <c r="G71" s="13"/>
      <c r="H71" s="14">
        <f t="shared" si="4"/>
      </c>
    </row>
    <row r="72" spans="1:8" ht="13.5">
      <c r="A72" s="15"/>
      <c r="B72" s="10"/>
      <c r="C72" s="22" t="s">
        <v>33</v>
      </c>
      <c r="D72" s="11"/>
      <c r="E72" s="12"/>
      <c r="F72" s="13"/>
      <c r="G72" s="13"/>
      <c r="H72" s="14">
        <f t="shared" si="4"/>
      </c>
    </row>
    <row r="73" spans="1:8" ht="13.5">
      <c r="A73" s="15"/>
      <c r="B73" s="10"/>
      <c r="C73" s="22" t="s">
        <v>33</v>
      </c>
      <c r="D73" s="11"/>
      <c r="E73" s="12"/>
      <c r="F73" s="13"/>
      <c r="G73" s="13"/>
      <c r="H73" s="14">
        <f t="shared" si="4"/>
      </c>
    </row>
    <row r="74" spans="1:8" ht="13.5">
      <c r="A74" s="15"/>
      <c r="B74" s="10"/>
      <c r="C74" s="22" t="s">
        <v>33</v>
      </c>
      <c r="D74" s="11"/>
      <c r="E74" s="12"/>
      <c r="F74" s="13"/>
      <c r="G74" s="13"/>
      <c r="H74" s="14">
        <f t="shared" si="4"/>
      </c>
    </row>
    <row r="75" spans="1:8" ht="13.5">
      <c r="A75" s="15"/>
      <c r="B75" s="10"/>
      <c r="C75" s="22" t="s">
        <v>33</v>
      </c>
      <c r="D75" s="11"/>
      <c r="E75" s="12"/>
      <c r="F75" s="13"/>
      <c r="G75" s="13"/>
      <c r="H75" s="14">
        <f t="shared" si="4"/>
      </c>
    </row>
    <row r="76" spans="1:8" ht="13.5">
      <c r="A76" s="15"/>
      <c r="B76" s="10"/>
      <c r="C76" s="22" t="s">
        <v>33</v>
      </c>
      <c r="D76" s="11"/>
      <c r="E76" s="12"/>
      <c r="F76" s="13"/>
      <c r="G76" s="13"/>
      <c r="H76" s="14">
        <f t="shared" si="4"/>
      </c>
    </row>
    <row r="77" spans="1:8" ht="13.5">
      <c r="A77" s="15"/>
      <c r="B77" s="10"/>
      <c r="C77" s="22" t="s">
        <v>33</v>
      </c>
      <c r="D77" s="11"/>
      <c r="E77" s="12"/>
      <c r="F77" s="13"/>
      <c r="G77" s="13"/>
      <c r="H77" s="14">
        <f t="shared" si="4"/>
      </c>
    </row>
    <row r="78" spans="1:8" ht="13.5">
      <c r="A78" s="15"/>
      <c r="B78" s="10"/>
      <c r="C78" s="22" t="s">
        <v>33</v>
      </c>
      <c r="D78" s="11"/>
      <c r="E78" s="12"/>
      <c r="F78" s="13"/>
      <c r="G78" s="13"/>
      <c r="H78" s="14">
        <f t="shared" si="4"/>
      </c>
    </row>
    <row r="79" spans="1:8" ht="13.5">
      <c r="A79" s="15"/>
      <c r="B79" s="10"/>
      <c r="C79" s="22" t="s">
        <v>33</v>
      </c>
      <c r="D79" s="11"/>
      <c r="E79" s="12"/>
      <c r="F79" s="13"/>
      <c r="G79" s="13"/>
      <c r="H79" s="14">
        <f t="shared" si="4"/>
      </c>
    </row>
    <row r="80" spans="1:8" ht="13.5">
      <c r="A80" s="15"/>
      <c r="B80" s="10"/>
      <c r="C80" s="22" t="s">
        <v>33</v>
      </c>
      <c r="D80" s="11"/>
      <c r="E80" s="12"/>
      <c r="F80" s="13"/>
      <c r="G80" s="13"/>
      <c r="H80" s="14">
        <f t="shared" si="4"/>
      </c>
    </row>
    <row r="81" spans="1:8" ht="13.5">
      <c r="A81" s="15"/>
      <c r="B81" s="10"/>
      <c r="C81" s="22" t="s">
        <v>33</v>
      </c>
      <c r="D81" s="11"/>
      <c r="E81" s="12"/>
      <c r="F81" s="13"/>
      <c r="G81" s="13"/>
      <c r="H81" s="14">
        <f t="shared" si="4"/>
      </c>
    </row>
    <row r="82" spans="1:8" ht="13.5">
      <c r="A82" s="15"/>
      <c r="B82" s="10"/>
      <c r="C82" s="22" t="s">
        <v>33</v>
      </c>
      <c r="D82" s="11"/>
      <c r="E82" s="12"/>
      <c r="F82" s="13"/>
      <c r="G82" s="13"/>
      <c r="H82" s="14">
        <f t="shared" si="4"/>
      </c>
    </row>
    <row r="83" spans="1:8" ht="13.5">
      <c r="A83" s="15"/>
      <c r="B83" s="10"/>
      <c r="C83" s="22" t="s">
        <v>33</v>
      </c>
      <c r="D83" s="11"/>
      <c r="E83" s="12"/>
      <c r="F83" s="13"/>
      <c r="G83" s="13"/>
      <c r="H83" s="14">
        <f t="shared" si="4"/>
      </c>
    </row>
    <row r="84" spans="1:8" ht="13.5">
      <c r="A84" s="15"/>
      <c r="B84" s="10"/>
      <c r="C84" s="22" t="s">
        <v>33</v>
      </c>
      <c r="D84" s="11"/>
      <c r="E84" s="12"/>
      <c r="F84" s="13"/>
      <c r="G84" s="13"/>
      <c r="H84" s="14">
        <f t="shared" si="4"/>
      </c>
    </row>
    <row r="85" spans="1:8" ht="13.5">
      <c r="A85" s="15"/>
      <c r="B85" s="10"/>
      <c r="C85" s="22" t="s">
        <v>33</v>
      </c>
      <c r="D85" s="11"/>
      <c r="E85" s="12"/>
      <c r="F85" s="13"/>
      <c r="G85" s="13"/>
      <c r="H85" s="14">
        <f t="shared" si="4"/>
      </c>
    </row>
    <row r="86" spans="1:8" ht="13.5">
      <c r="A86" s="15"/>
      <c r="B86" s="10"/>
      <c r="C86" s="22" t="s">
        <v>33</v>
      </c>
      <c r="D86" s="11"/>
      <c r="E86" s="12"/>
      <c r="F86" s="13"/>
      <c r="G86" s="13"/>
      <c r="H86" s="14">
        <f t="shared" si="4"/>
      </c>
    </row>
    <row r="87" spans="1:8" ht="13.5">
      <c r="A87" s="15"/>
      <c r="B87" s="10"/>
      <c r="C87" s="22" t="s">
        <v>33</v>
      </c>
      <c r="D87" s="11"/>
      <c r="E87" s="12"/>
      <c r="F87" s="13"/>
      <c r="G87" s="13"/>
      <c r="H87" s="14">
        <f t="shared" si="4"/>
      </c>
    </row>
    <row r="88" spans="1:8" ht="13.5">
      <c r="A88" s="15"/>
      <c r="B88" s="10"/>
      <c r="C88" s="22" t="s">
        <v>33</v>
      </c>
      <c r="D88" s="11"/>
      <c r="E88" s="12"/>
      <c r="F88" s="13"/>
      <c r="G88" s="13"/>
      <c r="H88" s="14">
        <f t="shared" si="4"/>
      </c>
    </row>
    <row r="89" spans="1:8" ht="13.5">
      <c r="A89" s="15"/>
      <c r="B89" s="10"/>
      <c r="C89" s="22" t="s">
        <v>33</v>
      </c>
      <c r="D89" s="11"/>
      <c r="E89" s="12"/>
      <c r="F89" s="13"/>
      <c r="G89" s="13"/>
      <c r="H89" s="14">
        <f t="shared" si="4"/>
      </c>
    </row>
    <row r="90" spans="1:8" ht="13.5">
      <c r="A90" s="15"/>
      <c r="B90" s="10"/>
      <c r="C90" s="22" t="s">
        <v>33</v>
      </c>
      <c r="D90" s="11"/>
      <c r="E90" s="12"/>
      <c r="F90" s="13"/>
      <c r="G90" s="13"/>
      <c r="H90" s="14">
        <f t="shared" si="4"/>
      </c>
    </row>
    <row r="91" spans="1:8" ht="14.25" thickBot="1">
      <c r="A91" s="15"/>
      <c r="B91" s="10"/>
      <c r="C91" s="22" t="s">
        <v>33</v>
      </c>
      <c r="D91" s="11"/>
      <c r="E91" s="12"/>
      <c r="F91" s="13"/>
      <c r="G91" s="13"/>
      <c r="H91" s="14">
        <f t="shared" si="4"/>
      </c>
    </row>
    <row r="92" spans="1:8" ht="14.25" thickBot="1">
      <c r="A92" s="15"/>
      <c r="B92" s="17"/>
      <c r="C92" s="18"/>
      <c r="D92" s="18"/>
      <c r="E92" s="19" t="s">
        <v>8</v>
      </c>
      <c r="F92" s="20"/>
      <c r="G92" s="20"/>
      <c r="H92" s="21">
        <f>IF(AND(SUM(F5:F91)=0,SUM(G5:G91)=0),"",SUM(F5:F91)-SUM(G5:G91)+H4)</f>
      </c>
    </row>
  </sheetData>
  <sheetProtection/>
  <mergeCells count="1">
    <mergeCell ref="B1:C1"/>
  </mergeCells>
  <dataValidations count="2">
    <dataValidation type="list" allowBlank="1" showInputMessage="1" showErrorMessage="1" sqref="C5:C91">
      <formula1>$J$3:$J$32</formula1>
    </dataValidation>
    <dataValidation type="list" allowBlank="1" showInputMessage="1" showErrorMessage="1" sqref="D5:D91">
      <formula1>$J$37:$J$46</formula1>
    </dataValidation>
  </dataValidations>
  <printOptions/>
  <pageMargins left="0.75" right="0.75" top="1" bottom="1" header="0.512" footer="0.512"/>
  <pageSetup orientation="portrait" paperSize="9"/>
  <ignoredErrors>
    <ignoredError sqref="K5" formula="1"/>
  </ignoredErrors>
  <legacyDrawing r:id="rId2"/>
</worksheet>
</file>

<file path=xl/worksheets/sheet9.xml><?xml version="1.0" encoding="utf-8"?>
<worksheet xmlns="http://schemas.openxmlformats.org/spreadsheetml/2006/main" xmlns:r="http://schemas.openxmlformats.org/officeDocument/2006/relationships">
  <dimension ref="A1:Q92"/>
  <sheetViews>
    <sheetView zoomScalePageLayoutView="0" workbookViewId="0" topLeftCell="A1">
      <selection activeCell="J24" sqref="J24"/>
    </sheetView>
  </sheetViews>
  <sheetFormatPr defaultColWidth="9.00390625" defaultRowHeight="13.5"/>
  <cols>
    <col min="3" max="3" width="10.875" style="0" customWidth="1"/>
    <col min="4" max="4" width="18.125" style="0" customWidth="1"/>
    <col min="5" max="5" width="22.25390625" style="0" customWidth="1"/>
    <col min="6" max="7" width="11.875" style="0" customWidth="1"/>
    <col min="8" max="8" width="13.125" style="0" customWidth="1"/>
    <col min="10" max="10" width="12.75390625" style="0" bestFit="1" customWidth="1"/>
    <col min="14" max="14" width="5.25390625" style="0" bestFit="1" customWidth="1"/>
  </cols>
  <sheetData>
    <row r="1" spans="1:11" ht="23.25">
      <c r="A1" s="1"/>
      <c r="B1" s="38" t="s">
        <v>9</v>
      </c>
      <c r="C1" s="39"/>
      <c r="D1" s="2"/>
      <c r="E1" s="2"/>
      <c r="F1" s="2"/>
      <c r="G1" s="2"/>
      <c r="H1" s="2"/>
      <c r="K1" s="3"/>
    </row>
    <row r="2" spans="1:11" ht="15" thickBot="1">
      <c r="A2" s="1"/>
      <c r="B2" s="1"/>
      <c r="C2" s="1"/>
      <c r="D2" s="1"/>
      <c r="E2" s="1"/>
      <c r="F2" s="1"/>
      <c r="G2" s="1"/>
      <c r="H2" s="4" t="s">
        <v>50</v>
      </c>
      <c r="K2" s="3"/>
    </row>
    <row r="3" spans="1:17" ht="15" thickBot="1">
      <c r="A3" s="1"/>
      <c r="B3" s="5" t="s">
        <v>1</v>
      </c>
      <c r="C3" s="6" t="s">
        <v>2</v>
      </c>
      <c r="D3" s="7" t="s">
        <v>3</v>
      </c>
      <c r="E3" s="8" t="s">
        <v>4</v>
      </c>
      <c r="F3" s="6" t="s">
        <v>5</v>
      </c>
      <c r="G3" s="6" t="s">
        <v>6</v>
      </c>
      <c r="H3" s="9" t="s">
        <v>7</v>
      </c>
      <c r="J3" s="27" t="str">
        <f>IF('１月'!J3="","",'１月'!J3)</f>
        <v>売上</v>
      </c>
      <c r="K3" s="28">
        <f>SUMIF($C$5:$C$91,J3,$F$5:$F$91)</f>
        <v>0</v>
      </c>
      <c r="M3" s="29" t="s">
        <v>36</v>
      </c>
      <c r="N3" s="29" t="s">
        <v>37</v>
      </c>
      <c r="O3" s="30" t="s">
        <v>38</v>
      </c>
      <c r="P3" s="30" t="s">
        <v>39</v>
      </c>
      <c r="Q3" s="27"/>
    </row>
    <row r="4" spans="1:17" ht="14.25">
      <c r="A4" s="1"/>
      <c r="B4" s="10"/>
      <c r="C4" s="22" t="s">
        <v>33</v>
      </c>
      <c r="D4" s="11"/>
      <c r="E4" s="12" t="s">
        <v>35</v>
      </c>
      <c r="F4" s="13"/>
      <c r="G4" s="13"/>
      <c r="H4" s="14">
        <f>'８月'!H92</f>
      </c>
      <c r="J4" s="27" t="str">
        <f>IF('１月'!J4="","",'１月'!J4)</f>
        <v>仕入</v>
      </c>
      <c r="K4" s="28">
        <f>SUMIF($C$5:$C$91,J4,$G$5:$G$91)</f>
        <v>0</v>
      </c>
      <c r="M4" s="31">
        <v>40787</v>
      </c>
      <c r="N4" s="42" t="s">
        <v>86</v>
      </c>
      <c r="O4" s="28">
        <f>SUMIF($B$5:$B$91,"9月1日",$F$5:$F$91)</f>
        <v>0</v>
      </c>
      <c r="P4" s="28">
        <f>SUMIF($B$5:$B$91,"9月1日",$G$5:$G$91)</f>
        <v>0</v>
      </c>
      <c r="Q4" s="32">
        <f>O4-P4</f>
        <v>0</v>
      </c>
    </row>
    <row r="5" spans="1:17" ht="14.25">
      <c r="A5" s="1"/>
      <c r="B5" s="10"/>
      <c r="C5" s="22" t="s">
        <v>33</v>
      </c>
      <c r="D5" s="11"/>
      <c r="E5" s="12"/>
      <c r="F5" s="13"/>
      <c r="G5" s="13"/>
      <c r="H5" s="14">
        <f>IF(OR(H4="",AND(F5="",G5="")),"",H4+F5-G5)</f>
      </c>
      <c r="J5" s="27" t="str">
        <f>IF('１月'!J5="","",'１月'!J5)</f>
        <v>製造原価</v>
      </c>
      <c r="K5" s="28">
        <f>K3-K4</f>
        <v>0</v>
      </c>
      <c r="M5" s="31">
        <v>40788</v>
      </c>
      <c r="N5" s="42" t="s">
        <v>71</v>
      </c>
      <c r="O5" s="28">
        <f>SUMIF($B$5:$B$91,"9月2日",$F$5:$F$91)</f>
        <v>0</v>
      </c>
      <c r="P5" s="28">
        <f>SUMIF($B$5:$B$91,"9月2日",$G$5:$G$91)</f>
        <v>0</v>
      </c>
      <c r="Q5" s="32">
        <f aca="true" t="shared" si="0" ref="Q5:Q34">O5-P5</f>
        <v>0</v>
      </c>
    </row>
    <row r="6" spans="1:17" ht="14.25">
      <c r="A6" s="1"/>
      <c r="B6" s="10"/>
      <c r="C6" s="22" t="s">
        <v>33</v>
      </c>
      <c r="D6" s="11"/>
      <c r="E6" s="12"/>
      <c r="F6" s="13"/>
      <c r="G6" s="13"/>
      <c r="H6" s="14">
        <f aca="true" t="shared" si="1" ref="H6:H69">IF(OR(H5="",AND(F6="",G6="")),"",H5+F6-G6)</f>
      </c>
      <c r="J6" s="27" t="str">
        <f>IF('１月'!J6="","",'１月'!J6)</f>
        <v>租税公課</v>
      </c>
      <c r="K6" s="28">
        <f>SUMIF($C$5:$C$91,J6,$G$5:$G$91)</f>
        <v>0</v>
      </c>
      <c r="M6" s="31">
        <v>40789</v>
      </c>
      <c r="N6" s="42" t="s">
        <v>72</v>
      </c>
      <c r="O6" s="28">
        <f>SUMIF($B$5:$B$91,"9月3日",$F$5:$F$91)</f>
        <v>0</v>
      </c>
      <c r="P6" s="28">
        <f>SUMIF($B$5:$B$91,"9月3日",$G$5:$G$91)</f>
        <v>0</v>
      </c>
      <c r="Q6" s="32">
        <f t="shared" si="0"/>
        <v>0</v>
      </c>
    </row>
    <row r="7" spans="1:17" ht="14.25">
      <c r="A7" s="1"/>
      <c r="B7" s="10"/>
      <c r="C7" s="22" t="s">
        <v>33</v>
      </c>
      <c r="D7" s="11"/>
      <c r="E7" s="12"/>
      <c r="F7" s="13"/>
      <c r="G7" s="13"/>
      <c r="H7" s="14">
        <f t="shared" si="1"/>
      </c>
      <c r="J7" s="27" t="str">
        <f>IF('１月'!J7="","",'１月'!J7)</f>
        <v>荷造運賃</v>
      </c>
      <c r="K7" s="28">
        <f aca="true" t="shared" si="2" ref="K7:K28">SUMIF($C$5:$C$91,J7,$G$5:$G$91)</f>
        <v>0</v>
      </c>
      <c r="M7" s="31">
        <v>40790</v>
      </c>
      <c r="N7" s="42" t="s">
        <v>66</v>
      </c>
      <c r="O7" s="28">
        <f>SUMIF($B$5:$B$91,"9月4日",$F$5:$F$91)</f>
        <v>0</v>
      </c>
      <c r="P7" s="28">
        <f>SUMIF($B$5:$B$91,"9月4日",$G$5:$G$91)</f>
        <v>0</v>
      </c>
      <c r="Q7" s="32">
        <f t="shared" si="0"/>
        <v>0</v>
      </c>
    </row>
    <row r="8" spans="1:17" ht="14.25">
      <c r="A8" s="1"/>
      <c r="B8" s="10"/>
      <c r="C8" s="22" t="s">
        <v>33</v>
      </c>
      <c r="D8" s="11"/>
      <c r="E8" s="12"/>
      <c r="F8" s="13"/>
      <c r="G8" s="13"/>
      <c r="H8" s="14">
        <f t="shared" si="1"/>
      </c>
      <c r="J8" s="27" t="str">
        <f>IF('１月'!J8="","",'１月'!J8)</f>
        <v>水道光熱費</v>
      </c>
      <c r="K8" s="28">
        <f t="shared" si="2"/>
        <v>0</v>
      </c>
      <c r="M8" s="31">
        <v>40791</v>
      </c>
      <c r="N8" s="42" t="s">
        <v>67</v>
      </c>
      <c r="O8" s="28">
        <f>SUMIF($B$5:$B$91,"9月5日",$F$5:$F$91)</f>
        <v>0</v>
      </c>
      <c r="P8" s="28">
        <f>SUMIF($B$5:$B$91,"9月5日",$G$5:$G$91)</f>
        <v>0</v>
      </c>
      <c r="Q8" s="32">
        <f t="shared" si="0"/>
        <v>0</v>
      </c>
    </row>
    <row r="9" spans="1:17" ht="14.25">
      <c r="A9" s="1"/>
      <c r="B9" s="10"/>
      <c r="C9" s="22" t="s">
        <v>33</v>
      </c>
      <c r="D9" s="11"/>
      <c r="E9" s="12"/>
      <c r="F9" s="13"/>
      <c r="G9" s="13"/>
      <c r="H9" s="14">
        <f t="shared" si="1"/>
      </c>
      <c r="J9" s="27" t="str">
        <f>IF('１月'!J9="","",'１月'!J9)</f>
        <v>旅費交通費</v>
      </c>
      <c r="K9" s="28">
        <f t="shared" si="2"/>
        <v>0</v>
      </c>
      <c r="M9" s="31">
        <v>40792</v>
      </c>
      <c r="N9" s="42" t="s">
        <v>68</v>
      </c>
      <c r="O9" s="28">
        <f>SUMIF($B$5:$B$91,"9月6日",$F$5:$F$91)</f>
        <v>0</v>
      </c>
      <c r="P9" s="28">
        <f>SUMIF($B$5:$B$91,"9月6日",$G$5:$G$91)</f>
        <v>0</v>
      </c>
      <c r="Q9" s="32">
        <f t="shared" si="0"/>
        <v>0</v>
      </c>
    </row>
    <row r="10" spans="1:17" ht="14.25">
      <c r="A10" s="15"/>
      <c r="B10" s="10"/>
      <c r="C10" s="22" t="s">
        <v>33</v>
      </c>
      <c r="D10" s="11"/>
      <c r="E10" s="12"/>
      <c r="F10" s="13"/>
      <c r="G10" s="13"/>
      <c r="H10" s="14">
        <f t="shared" si="1"/>
      </c>
      <c r="J10" s="27" t="str">
        <f>IF('１月'!J10="","",'１月'!J10)</f>
        <v>通信費</v>
      </c>
      <c r="K10" s="28">
        <f t="shared" si="2"/>
        <v>0</v>
      </c>
      <c r="M10" s="31">
        <v>40793</v>
      </c>
      <c r="N10" s="42" t="s">
        <v>69</v>
      </c>
      <c r="O10" s="28">
        <f>SUMIF($B$5:$B$91,"9月7日",$F$5:$F$91)</f>
        <v>0</v>
      </c>
      <c r="P10" s="28">
        <f>SUMIF($B$5:$B$91,"9月7日",$G$5:$G$91)</f>
        <v>0</v>
      </c>
      <c r="Q10" s="32">
        <f t="shared" si="0"/>
        <v>0</v>
      </c>
    </row>
    <row r="11" spans="1:17" ht="14.25">
      <c r="A11" s="15"/>
      <c r="B11" s="10"/>
      <c r="C11" s="22" t="s">
        <v>33</v>
      </c>
      <c r="D11" s="11"/>
      <c r="E11" s="12"/>
      <c r="F11" s="13"/>
      <c r="G11" s="13"/>
      <c r="H11" s="14">
        <f t="shared" si="1"/>
      </c>
      <c r="J11" s="27" t="str">
        <f>IF('１月'!J11="","",'１月'!J11)</f>
        <v>広告宣伝費</v>
      </c>
      <c r="K11" s="28">
        <f t="shared" si="2"/>
        <v>0</v>
      </c>
      <c r="M11" s="31">
        <v>40794</v>
      </c>
      <c r="N11" s="42" t="s">
        <v>70</v>
      </c>
      <c r="O11" s="28">
        <f>SUMIF($B$5:$B$91,"9月8日",$F$5:$F$91)</f>
        <v>0</v>
      </c>
      <c r="P11" s="28">
        <f>SUMIF($B$5:$B$91,"9月8日",$G$5:$G$91)</f>
        <v>0</v>
      </c>
      <c r="Q11" s="32">
        <f t="shared" si="0"/>
        <v>0</v>
      </c>
    </row>
    <row r="12" spans="1:17" ht="14.25">
      <c r="A12" s="15"/>
      <c r="B12" s="10"/>
      <c r="C12" s="22" t="s">
        <v>33</v>
      </c>
      <c r="D12" s="11"/>
      <c r="E12" s="12"/>
      <c r="F12" s="13"/>
      <c r="G12" s="13"/>
      <c r="H12" s="14">
        <f t="shared" si="1"/>
      </c>
      <c r="J12" s="27" t="str">
        <f>IF('１月'!J12="","",'１月'!J12)</f>
        <v>接待交際費</v>
      </c>
      <c r="K12" s="28">
        <f t="shared" si="2"/>
        <v>0</v>
      </c>
      <c r="M12" s="31">
        <v>40795</v>
      </c>
      <c r="N12" s="42" t="s">
        <v>71</v>
      </c>
      <c r="O12" s="28">
        <f>SUMIF($B$5:$B$91,"9月9日",$F$5:$F$91)</f>
        <v>0</v>
      </c>
      <c r="P12" s="28">
        <f>SUMIF($B$5:$B$91,"9月9日",$G$5:$G$91)</f>
        <v>0</v>
      </c>
      <c r="Q12" s="32">
        <f t="shared" si="0"/>
        <v>0</v>
      </c>
    </row>
    <row r="13" spans="1:17" ht="14.25">
      <c r="A13" s="15"/>
      <c r="B13" s="10"/>
      <c r="C13" s="22" t="s">
        <v>33</v>
      </c>
      <c r="D13" s="11"/>
      <c r="E13" s="12"/>
      <c r="F13" s="13"/>
      <c r="G13" s="13"/>
      <c r="H13" s="14">
        <f t="shared" si="1"/>
      </c>
      <c r="J13" s="27" t="str">
        <f>IF('１月'!J13="","",'１月'!J13)</f>
        <v>損害保険料</v>
      </c>
      <c r="K13" s="28">
        <f t="shared" si="2"/>
        <v>0</v>
      </c>
      <c r="M13" s="31">
        <v>40796</v>
      </c>
      <c r="N13" s="42" t="s">
        <v>72</v>
      </c>
      <c r="O13" s="28">
        <f>SUMIF($B$5:$B$91,"9月10日",$F$5:$F$91)</f>
        <v>0</v>
      </c>
      <c r="P13" s="28">
        <f>SUMIF($B$5:$B$91,"9月10日",$G$5:$G$91)</f>
        <v>0</v>
      </c>
      <c r="Q13" s="32">
        <f t="shared" si="0"/>
        <v>0</v>
      </c>
    </row>
    <row r="14" spans="1:17" ht="14.25">
      <c r="A14" s="15"/>
      <c r="B14" s="10"/>
      <c r="C14" s="22" t="s">
        <v>33</v>
      </c>
      <c r="D14" s="11"/>
      <c r="E14" s="12"/>
      <c r="F14" s="13"/>
      <c r="G14" s="13"/>
      <c r="H14" s="14">
        <f t="shared" si="1"/>
      </c>
      <c r="J14" s="27" t="str">
        <f>IF('１月'!J14="","",'１月'!J14)</f>
        <v>修繕費</v>
      </c>
      <c r="K14" s="28">
        <f t="shared" si="2"/>
        <v>0</v>
      </c>
      <c r="M14" s="31">
        <v>40797</v>
      </c>
      <c r="N14" s="42" t="s">
        <v>66</v>
      </c>
      <c r="O14" s="28">
        <f>SUMIF($B$5:$B$91,"9月11日",$F$5:$F$91)</f>
        <v>0</v>
      </c>
      <c r="P14" s="28">
        <f>SUMIF($B$5:$B$91,"9月11日",$G$5:$G$91)</f>
        <v>0</v>
      </c>
      <c r="Q14" s="32">
        <f t="shared" si="0"/>
        <v>0</v>
      </c>
    </row>
    <row r="15" spans="1:17" ht="14.25">
      <c r="A15" s="15"/>
      <c r="B15" s="10"/>
      <c r="C15" s="22" t="s">
        <v>33</v>
      </c>
      <c r="D15" s="11"/>
      <c r="E15" s="16"/>
      <c r="F15" s="13"/>
      <c r="G15" s="13"/>
      <c r="H15" s="14">
        <f t="shared" si="1"/>
      </c>
      <c r="J15" s="27" t="str">
        <f>IF('１月'!J15="","",'１月'!J15)</f>
        <v>消耗品費</v>
      </c>
      <c r="K15" s="28">
        <f t="shared" si="2"/>
        <v>0</v>
      </c>
      <c r="M15" s="31">
        <v>40798</v>
      </c>
      <c r="N15" s="42" t="s">
        <v>67</v>
      </c>
      <c r="O15" s="28">
        <f>SUMIF($B$5:$B$91,"9月12日",$F$5:$F$91)</f>
        <v>0</v>
      </c>
      <c r="P15" s="28">
        <f>SUMIF($B$5:$B$91,"9月12日",$G$5:$G$91)</f>
        <v>0</v>
      </c>
      <c r="Q15" s="32">
        <f t="shared" si="0"/>
        <v>0</v>
      </c>
    </row>
    <row r="16" spans="1:17" ht="14.25">
      <c r="A16" s="15"/>
      <c r="B16" s="10"/>
      <c r="C16" s="22" t="s">
        <v>33</v>
      </c>
      <c r="D16" s="11"/>
      <c r="E16" s="12"/>
      <c r="F16" s="13"/>
      <c r="G16" s="13"/>
      <c r="H16" s="14">
        <f t="shared" si="1"/>
      </c>
      <c r="J16" s="27" t="str">
        <f>IF('１月'!J16="","",'１月'!J16)</f>
        <v>福利厚生費</v>
      </c>
      <c r="K16" s="28">
        <f t="shared" si="2"/>
        <v>0</v>
      </c>
      <c r="M16" s="31">
        <v>40799</v>
      </c>
      <c r="N16" s="42" t="s">
        <v>68</v>
      </c>
      <c r="O16" s="28">
        <f>SUMIF($B$5:$B$91,"9月13日",$F$5:$F$91)</f>
        <v>0</v>
      </c>
      <c r="P16" s="28">
        <f>SUMIF($B$5:$B$91,"9月13日",$G$5:$G$91)</f>
        <v>0</v>
      </c>
      <c r="Q16" s="32">
        <f t="shared" si="0"/>
        <v>0</v>
      </c>
    </row>
    <row r="17" spans="1:17" ht="14.25">
      <c r="A17" s="15"/>
      <c r="B17" s="10"/>
      <c r="C17" s="22" t="s">
        <v>33</v>
      </c>
      <c r="D17" s="11"/>
      <c r="E17" s="12"/>
      <c r="F17" s="13"/>
      <c r="G17" s="13"/>
      <c r="H17" s="14">
        <f t="shared" si="1"/>
      </c>
      <c r="J17" s="27" t="str">
        <f>IF('１月'!J17="","",'１月'!J17)</f>
        <v>給与賃金</v>
      </c>
      <c r="K17" s="28">
        <f t="shared" si="2"/>
        <v>0</v>
      </c>
      <c r="M17" s="31">
        <v>40800</v>
      </c>
      <c r="N17" s="42" t="s">
        <v>69</v>
      </c>
      <c r="O17" s="28">
        <f>SUMIF($B$5:$B$91,"9月14日",$F$5:$F$91)</f>
        <v>0</v>
      </c>
      <c r="P17" s="28">
        <f>SUMIF($B$5:$B$91,"9月14日",$G$5:$G$91)</f>
        <v>0</v>
      </c>
      <c r="Q17" s="32">
        <f t="shared" si="0"/>
        <v>0</v>
      </c>
    </row>
    <row r="18" spans="1:17" ht="14.25">
      <c r="A18" s="15"/>
      <c r="B18" s="10"/>
      <c r="C18" s="22" t="s">
        <v>33</v>
      </c>
      <c r="D18" s="11"/>
      <c r="E18" s="12"/>
      <c r="F18" s="13"/>
      <c r="G18" s="13"/>
      <c r="H18" s="14">
        <f t="shared" si="1"/>
      </c>
      <c r="J18" s="27" t="str">
        <f>IF('１月'!J18="","",'１月'!J18)</f>
        <v>利子割引料</v>
      </c>
      <c r="K18" s="28">
        <f t="shared" si="2"/>
        <v>0</v>
      </c>
      <c r="M18" s="31">
        <v>40801</v>
      </c>
      <c r="N18" s="42" t="s">
        <v>70</v>
      </c>
      <c r="O18" s="28">
        <f>SUMIF($B$5:$B$91,"9月15日",$F$5:$F$91)</f>
        <v>0</v>
      </c>
      <c r="P18" s="28">
        <f>SUMIF($B$5:$B$91,"9月15日",$G$5:$G$91)</f>
        <v>0</v>
      </c>
      <c r="Q18" s="32">
        <f t="shared" si="0"/>
        <v>0</v>
      </c>
    </row>
    <row r="19" spans="1:17" ht="14.25">
      <c r="A19" s="15"/>
      <c r="B19" s="10"/>
      <c r="C19" s="22" t="s">
        <v>33</v>
      </c>
      <c r="D19" s="11"/>
      <c r="E19" s="12"/>
      <c r="F19" s="13"/>
      <c r="G19" s="13"/>
      <c r="H19" s="14">
        <f t="shared" si="1"/>
      </c>
      <c r="J19" s="27" t="str">
        <f>IF('１月'!J19="","",'１月'!J19)</f>
        <v>地代家賃</v>
      </c>
      <c r="K19" s="28">
        <f t="shared" si="2"/>
        <v>0</v>
      </c>
      <c r="M19" s="31">
        <v>40802</v>
      </c>
      <c r="N19" s="42" t="s">
        <v>71</v>
      </c>
      <c r="O19" s="28">
        <f>SUMIF($B$5:$B$91,"9月16日",$F$5:$F$91)</f>
        <v>0</v>
      </c>
      <c r="P19" s="28">
        <f>SUMIF($B$5:$B$91,"9月16日",$G$5:$G$91)</f>
        <v>0</v>
      </c>
      <c r="Q19" s="32">
        <f t="shared" si="0"/>
        <v>0</v>
      </c>
    </row>
    <row r="20" spans="1:17" ht="14.25">
      <c r="A20" s="15"/>
      <c r="B20" s="10"/>
      <c r="C20" s="22" t="s">
        <v>33</v>
      </c>
      <c r="D20" s="11"/>
      <c r="E20" s="12"/>
      <c r="F20" s="13"/>
      <c r="G20" s="13"/>
      <c r="H20" s="14">
        <f t="shared" si="1"/>
      </c>
      <c r="J20" s="27" t="str">
        <f>IF('１月'!J20="","",'１月'!J20)</f>
        <v>貸倒金</v>
      </c>
      <c r="K20" s="28">
        <f t="shared" si="2"/>
        <v>0</v>
      </c>
      <c r="M20" s="31">
        <v>40803</v>
      </c>
      <c r="N20" s="42" t="s">
        <v>72</v>
      </c>
      <c r="O20" s="28">
        <f>SUMIF($B$5:$B$91,"9月17日",$F$5:$F$91)</f>
        <v>0</v>
      </c>
      <c r="P20" s="28">
        <f>SUMIF($B$5:$B$91,"9月17日",$G$5:$G$91)</f>
        <v>0</v>
      </c>
      <c r="Q20" s="32">
        <f t="shared" si="0"/>
        <v>0</v>
      </c>
    </row>
    <row r="21" spans="1:17" ht="14.25">
      <c r="A21" s="15"/>
      <c r="B21" s="10"/>
      <c r="C21" s="22" t="s">
        <v>33</v>
      </c>
      <c r="D21" s="11"/>
      <c r="E21" s="16"/>
      <c r="F21" s="13"/>
      <c r="G21" s="13"/>
      <c r="H21" s="14">
        <f t="shared" si="1"/>
      </c>
      <c r="J21" s="27" t="str">
        <f>IF('１月'!J21="","",'１月'!J21)</f>
        <v>専従者給与</v>
      </c>
      <c r="K21" s="28">
        <f t="shared" si="2"/>
        <v>0</v>
      </c>
      <c r="M21" s="31">
        <v>40804</v>
      </c>
      <c r="N21" s="42" t="s">
        <v>66</v>
      </c>
      <c r="O21" s="28">
        <f>SUMIF($B$5:$B$91,"9月18日",$F$5:$F$91)</f>
        <v>0</v>
      </c>
      <c r="P21" s="28">
        <f>SUMIF($B$5:$B$91,"9月18日",$G$5:$G$91)</f>
        <v>0</v>
      </c>
      <c r="Q21" s="32">
        <f t="shared" si="0"/>
        <v>0</v>
      </c>
    </row>
    <row r="22" spans="1:17" ht="14.25">
      <c r="A22" s="15"/>
      <c r="B22" s="10"/>
      <c r="C22" s="22" t="s">
        <v>33</v>
      </c>
      <c r="D22" s="11"/>
      <c r="E22" s="12"/>
      <c r="F22" s="13"/>
      <c r="G22" s="13"/>
      <c r="H22" s="14">
        <f t="shared" si="1"/>
      </c>
      <c r="J22" s="27" t="str">
        <f>IF('１月'!J22="","",'１月'!J22)</f>
        <v>リース料</v>
      </c>
      <c r="K22" s="28">
        <f t="shared" si="2"/>
        <v>0</v>
      </c>
      <c r="M22" s="31">
        <v>40805</v>
      </c>
      <c r="N22" s="42" t="s">
        <v>67</v>
      </c>
      <c r="O22" s="28">
        <f>SUMIF($B$5:$B$91,"9月19日",$F$5:$F$91)</f>
        <v>0</v>
      </c>
      <c r="P22" s="28">
        <f>SUMIF($B$5:$B$91,"9月19日",$G$5:$G$91)</f>
        <v>0</v>
      </c>
      <c r="Q22" s="32">
        <f t="shared" si="0"/>
        <v>0</v>
      </c>
    </row>
    <row r="23" spans="1:17" ht="14.25">
      <c r="A23" s="15"/>
      <c r="B23" s="10"/>
      <c r="C23" s="22" t="s">
        <v>33</v>
      </c>
      <c r="D23" s="11"/>
      <c r="E23" s="12"/>
      <c r="F23" s="13"/>
      <c r="G23" s="13"/>
      <c r="H23" s="14">
        <f t="shared" si="1"/>
      </c>
      <c r="J23" s="27" t="str">
        <f>IF('１月'!J23="","",'１月'!J23)</f>
        <v>外注費</v>
      </c>
      <c r="K23" s="28">
        <f t="shared" si="2"/>
        <v>0</v>
      </c>
      <c r="M23" s="31">
        <v>40806</v>
      </c>
      <c r="N23" s="42" t="s">
        <v>68</v>
      </c>
      <c r="O23" s="28">
        <f>SUMIF($B$5:$B$91,"9月20日",$F$5:$F$91)</f>
        <v>0</v>
      </c>
      <c r="P23" s="28">
        <f>SUMIF($B$5:$B$91,"9月20日",$G$5:$G$91)</f>
        <v>0</v>
      </c>
      <c r="Q23" s="32">
        <f t="shared" si="0"/>
        <v>0</v>
      </c>
    </row>
    <row r="24" spans="1:17" ht="14.25">
      <c r="A24" s="15"/>
      <c r="B24" s="10"/>
      <c r="C24" s="22" t="s">
        <v>33</v>
      </c>
      <c r="D24" s="11"/>
      <c r="E24" s="12"/>
      <c r="F24" s="13"/>
      <c r="G24" s="13"/>
      <c r="H24" s="14">
        <f t="shared" si="1"/>
      </c>
      <c r="J24" s="27">
        <f>IF('１月'!J24="","",'１月'!J24)</f>
      </c>
      <c r="K24" s="28">
        <f t="shared" si="2"/>
        <v>0</v>
      </c>
      <c r="M24" s="31">
        <v>40807</v>
      </c>
      <c r="N24" s="42" t="s">
        <v>69</v>
      </c>
      <c r="O24" s="28">
        <f>SUMIF($B$5:$B$91,"9月21日",$F$5:$F$91)</f>
        <v>0</v>
      </c>
      <c r="P24" s="28">
        <f>SUMIF($B$5:$B$91,"9月21日",$G$5:$G$91)</f>
        <v>0</v>
      </c>
      <c r="Q24" s="32">
        <f t="shared" si="0"/>
        <v>0</v>
      </c>
    </row>
    <row r="25" spans="1:17" ht="14.25">
      <c r="A25" s="15"/>
      <c r="B25" s="10"/>
      <c r="C25" s="22" t="s">
        <v>33</v>
      </c>
      <c r="D25" s="11"/>
      <c r="E25" s="12"/>
      <c r="F25" s="13"/>
      <c r="G25" s="13"/>
      <c r="H25" s="14">
        <f t="shared" si="1"/>
      </c>
      <c r="J25" s="27" t="str">
        <f>IF('１月'!J25="","",'１月'!J25)</f>
        <v>　</v>
      </c>
      <c r="K25" s="28">
        <f t="shared" si="2"/>
        <v>0</v>
      </c>
      <c r="M25" s="31">
        <v>40808</v>
      </c>
      <c r="N25" s="42" t="s">
        <v>70</v>
      </c>
      <c r="O25" s="28">
        <f>SUMIF($B$5:$B$91,"9月22日",$F$5:$F$91)</f>
        <v>0</v>
      </c>
      <c r="P25" s="28">
        <f>SUMIF($B$5:$B$91,"9月22日",$G$5:$G$91)</f>
        <v>0</v>
      </c>
      <c r="Q25" s="32">
        <f t="shared" si="0"/>
        <v>0</v>
      </c>
    </row>
    <row r="26" spans="1:17" ht="14.25">
      <c r="A26" s="15"/>
      <c r="B26" s="10"/>
      <c r="C26" s="22" t="s">
        <v>33</v>
      </c>
      <c r="D26" s="11"/>
      <c r="E26" s="12"/>
      <c r="F26" s="13"/>
      <c r="G26" s="13"/>
      <c r="H26" s="14">
        <f t="shared" si="1"/>
      </c>
      <c r="J26" s="27">
        <f>IF('１月'!J26="","",'１月'!J26)</f>
      </c>
      <c r="K26" s="28">
        <f t="shared" si="2"/>
        <v>0</v>
      </c>
      <c r="M26" s="31">
        <v>40809</v>
      </c>
      <c r="N26" s="42" t="s">
        <v>71</v>
      </c>
      <c r="O26" s="28">
        <f>SUMIF($B$5:$B$91,"9月23日",$F$5:$F$91)</f>
        <v>0</v>
      </c>
      <c r="P26" s="28">
        <f>SUMIF($B$5:$B$91,"9月23日",$G$5:$G$91)</f>
        <v>0</v>
      </c>
      <c r="Q26" s="32">
        <f t="shared" si="0"/>
        <v>0</v>
      </c>
    </row>
    <row r="27" spans="1:17" ht="14.25">
      <c r="A27" s="15"/>
      <c r="B27" s="10"/>
      <c r="C27" s="22" t="s">
        <v>33</v>
      </c>
      <c r="D27" s="11"/>
      <c r="E27" s="12"/>
      <c r="F27" s="13"/>
      <c r="G27" s="13"/>
      <c r="H27" s="14">
        <f t="shared" si="1"/>
      </c>
      <c r="J27" s="27">
        <f>IF('１月'!J27="","",'１月'!J27)</f>
      </c>
      <c r="K27" s="28">
        <f t="shared" si="2"/>
        <v>0</v>
      </c>
      <c r="M27" s="31">
        <v>40810</v>
      </c>
      <c r="N27" s="42" t="s">
        <v>72</v>
      </c>
      <c r="O27" s="28">
        <f>SUMIF($B$5:$B$91,"9月24日",$F$5:$F$91)</f>
        <v>0</v>
      </c>
      <c r="P27" s="28">
        <f>SUMIF($B$5:$B$91,"9月24日",$G$5:$G$91)</f>
        <v>0</v>
      </c>
      <c r="Q27" s="32">
        <f t="shared" si="0"/>
        <v>0</v>
      </c>
    </row>
    <row r="28" spans="1:17" ht="14.25">
      <c r="A28" s="15"/>
      <c r="B28" s="10"/>
      <c r="C28" s="22" t="s">
        <v>33</v>
      </c>
      <c r="D28" s="11"/>
      <c r="E28" s="12"/>
      <c r="F28" s="13"/>
      <c r="G28" s="13"/>
      <c r="H28" s="14">
        <f t="shared" si="1"/>
      </c>
      <c r="J28" s="27" t="str">
        <f>IF('１月'!J28="","",'１月'!J28)</f>
        <v>雑費</v>
      </c>
      <c r="K28" s="28">
        <f t="shared" si="2"/>
        <v>0</v>
      </c>
      <c r="M28" s="31">
        <v>40811</v>
      </c>
      <c r="N28" s="42" t="s">
        <v>66</v>
      </c>
      <c r="O28" s="28">
        <f>SUMIF($B$5:$B$91,"9月25日",$F$5:$F$91)</f>
        <v>0</v>
      </c>
      <c r="P28" s="28">
        <f>SUMIF($B$5:$B$91,"9月25日",$G$5:$G$91)</f>
        <v>0</v>
      </c>
      <c r="Q28" s="32">
        <f t="shared" si="0"/>
        <v>0</v>
      </c>
    </row>
    <row r="29" spans="1:17" ht="14.25">
      <c r="A29" s="15"/>
      <c r="B29" s="10"/>
      <c r="C29" s="22" t="s">
        <v>33</v>
      </c>
      <c r="D29" s="11"/>
      <c r="E29" s="12"/>
      <c r="F29" s="13"/>
      <c r="G29" s="13"/>
      <c r="H29" s="14">
        <f t="shared" si="1"/>
      </c>
      <c r="J29" s="27" t="str">
        <f>IF('１月'!J29="","",'１月'!J29)</f>
        <v>経費合計</v>
      </c>
      <c r="K29" s="28">
        <f>SUM(K6:K28)</f>
        <v>0</v>
      </c>
      <c r="M29" s="31">
        <v>40812</v>
      </c>
      <c r="N29" s="42" t="s">
        <v>67</v>
      </c>
      <c r="O29" s="28">
        <f>SUMIF($B$5:$B$91,"9月26日",$F$5:$F$91)</f>
        <v>0</v>
      </c>
      <c r="P29" s="28">
        <f>SUMIF($B$5:$B$91,"9月26日",$G$5:$G$91)</f>
        <v>0</v>
      </c>
      <c r="Q29" s="32">
        <f t="shared" si="0"/>
        <v>0</v>
      </c>
    </row>
    <row r="30" spans="1:17" ht="14.25">
      <c r="A30" s="15"/>
      <c r="B30" s="10"/>
      <c r="C30" s="22" t="s">
        <v>33</v>
      </c>
      <c r="D30" s="11"/>
      <c r="E30" s="12"/>
      <c r="F30" s="13"/>
      <c r="G30" s="13"/>
      <c r="H30" s="14">
        <f t="shared" si="1"/>
      </c>
      <c r="J30" s="27" t="str">
        <f>IF('１月'!J30="","",'１月'!J30)</f>
        <v>利益</v>
      </c>
      <c r="K30" s="28">
        <f>K5-K29</f>
        <v>0</v>
      </c>
      <c r="M30" s="31">
        <v>40813</v>
      </c>
      <c r="N30" s="42" t="s">
        <v>68</v>
      </c>
      <c r="O30" s="28">
        <f>SUMIF($B$5:$B$91,"9月27日",$F$5:$F$91)</f>
        <v>0</v>
      </c>
      <c r="P30" s="28">
        <f>SUMIF($B$5:$B$91,"9月27日",$G$5:$G$91)</f>
        <v>0</v>
      </c>
      <c r="Q30" s="32">
        <f t="shared" si="0"/>
        <v>0</v>
      </c>
    </row>
    <row r="31" spans="1:17" ht="13.5">
      <c r="A31" s="15"/>
      <c r="B31" s="10"/>
      <c r="C31" s="22" t="s">
        <v>33</v>
      </c>
      <c r="D31" s="11"/>
      <c r="E31" s="12"/>
      <c r="F31" s="13"/>
      <c r="G31" s="13"/>
      <c r="H31" s="14">
        <f t="shared" si="1"/>
      </c>
      <c r="J31" s="27" t="str">
        <f>IF('１月'!J31="","",'１月'!J31)</f>
        <v>入金</v>
      </c>
      <c r="K31" s="28">
        <f>SUMIF($C$5:$C$91,J31,$F$5:$F$91)</f>
        <v>0</v>
      </c>
      <c r="M31" s="31">
        <v>40814</v>
      </c>
      <c r="N31" s="42" t="s">
        <v>69</v>
      </c>
      <c r="O31" s="28">
        <f>SUMIF($B$5:$B$91,"9月28日",$F$5:$F$91)</f>
        <v>0</v>
      </c>
      <c r="P31" s="28">
        <f>SUMIF($B$5:$B$91,"9月28日",$G$5:$G$91)</f>
        <v>0</v>
      </c>
      <c r="Q31" s="32">
        <f t="shared" si="0"/>
        <v>0</v>
      </c>
    </row>
    <row r="32" spans="1:17" ht="13.5">
      <c r="A32" s="15"/>
      <c r="B32" s="10"/>
      <c r="C32" s="22" t="s">
        <v>33</v>
      </c>
      <c r="D32" s="11"/>
      <c r="E32" s="12"/>
      <c r="F32" s="13"/>
      <c r="G32" s="13"/>
      <c r="H32" s="14">
        <f t="shared" si="1"/>
      </c>
      <c r="J32" s="27" t="str">
        <f>IF('１月'!J32="","",'１月'!J32)</f>
        <v>その他支払い</v>
      </c>
      <c r="K32" s="28">
        <f>SUMIF($C$5:$C$91,J32,$G$5:$G$91)</f>
        <v>0</v>
      </c>
      <c r="M32" s="31">
        <v>40815</v>
      </c>
      <c r="N32" s="42" t="s">
        <v>70</v>
      </c>
      <c r="O32" s="28">
        <f>SUMIF($B$5:$B$91,"9月29日",$F$5:$F$91)</f>
        <v>0</v>
      </c>
      <c r="P32" s="28">
        <f>SUMIF($B$5:$B$91,"9月29日",$G$5:$G$91)</f>
        <v>0</v>
      </c>
      <c r="Q32" s="32">
        <f t="shared" si="0"/>
        <v>0</v>
      </c>
    </row>
    <row r="33" spans="1:17" ht="13.5">
      <c r="A33" s="15"/>
      <c r="B33" s="10"/>
      <c r="C33" s="22" t="s">
        <v>33</v>
      </c>
      <c r="D33" s="11"/>
      <c r="E33" s="12"/>
      <c r="F33" s="13"/>
      <c r="G33" s="13"/>
      <c r="H33" s="14">
        <f t="shared" si="1"/>
      </c>
      <c r="K33" s="3"/>
      <c r="M33" s="31">
        <v>40816</v>
      </c>
      <c r="N33" s="42" t="s">
        <v>71</v>
      </c>
      <c r="O33" s="28">
        <f>SUMIF($B$5:$B$91,"9月30日",$F$5:$F$91)</f>
        <v>0</v>
      </c>
      <c r="P33" s="28">
        <f>SUMIF($B$5:$B$91,"9月30日",$G$5:$G$91)</f>
        <v>0</v>
      </c>
      <c r="Q33" s="32">
        <f t="shared" si="0"/>
        <v>0</v>
      </c>
    </row>
    <row r="34" spans="1:17" ht="13.5">
      <c r="A34" s="15"/>
      <c r="B34" s="10"/>
      <c r="C34" s="22" t="s">
        <v>33</v>
      </c>
      <c r="D34" s="11"/>
      <c r="E34" s="12"/>
      <c r="F34" s="13"/>
      <c r="G34" s="13"/>
      <c r="H34" s="14">
        <f t="shared" si="1"/>
      </c>
      <c r="K34" s="3"/>
      <c r="M34" s="27"/>
      <c r="N34" s="27"/>
      <c r="O34" s="32">
        <f>SUM(O4:O33)</f>
        <v>0</v>
      </c>
      <c r="P34" s="32">
        <f>SUM(P4:P33)</f>
        <v>0</v>
      </c>
      <c r="Q34" s="32">
        <f t="shared" si="0"/>
        <v>0</v>
      </c>
    </row>
    <row r="35" spans="1:11" ht="13.5">
      <c r="A35" s="15"/>
      <c r="B35" s="10"/>
      <c r="C35" s="22" t="s">
        <v>33</v>
      </c>
      <c r="D35" s="11"/>
      <c r="E35" s="12"/>
      <c r="F35" s="13"/>
      <c r="G35" s="13"/>
      <c r="H35" s="14">
        <f t="shared" si="1"/>
      </c>
      <c r="K35" s="3"/>
    </row>
    <row r="36" spans="1:8" ht="13.5">
      <c r="A36" s="15"/>
      <c r="B36" s="10"/>
      <c r="C36" s="22" t="s">
        <v>33</v>
      </c>
      <c r="D36" s="11"/>
      <c r="E36" s="12"/>
      <c r="F36" s="13"/>
      <c r="G36" s="13"/>
      <c r="H36" s="14">
        <f t="shared" si="1"/>
      </c>
    </row>
    <row r="37" spans="1:11" ht="13.5">
      <c r="A37" s="15"/>
      <c r="B37" s="10"/>
      <c r="C37" s="22" t="s">
        <v>33</v>
      </c>
      <c r="D37" s="11"/>
      <c r="E37" s="12"/>
      <c r="F37" s="13"/>
      <c r="G37" s="13"/>
      <c r="H37" s="14">
        <f t="shared" si="1"/>
      </c>
      <c r="J37" s="27">
        <f>IF('１月'!J37="","",'１月'!J37)</f>
      </c>
      <c r="K37" s="28">
        <f aca="true" t="shared" si="3" ref="K37:K46">SUMIF($D$5:$D$91,J37,$G$5:$G$91)</f>
        <v>0</v>
      </c>
    </row>
    <row r="38" spans="1:11" ht="13.5">
      <c r="A38" s="15"/>
      <c r="B38" s="10"/>
      <c r="C38" s="22" t="s">
        <v>33</v>
      </c>
      <c r="D38" s="11"/>
      <c r="E38" s="12"/>
      <c r="F38" s="13"/>
      <c r="G38" s="13"/>
      <c r="H38" s="14">
        <f t="shared" si="1"/>
      </c>
      <c r="J38" s="27">
        <f>IF('１月'!J38="","",'１月'!J38)</f>
      </c>
      <c r="K38" s="28">
        <f t="shared" si="3"/>
        <v>0</v>
      </c>
    </row>
    <row r="39" spans="1:11" ht="13.5">
      <c r="A39" s="15"/>
      <c r="B39" s="10"/>
      <c r="C39" s="22" t="s">
        <v>33</v>
      </c>
      <c r="D39" s="11"/>
      <c r="E39" s="12"/>
      <c r="F39" s="13"/>
      <c r="G39" s="13"/>
      <c r="H39" s="14">
        <f t="shared" si="1"/>
      </c>
      <c r="J39" s="27">
        <f>IF('１月'!J39="","",'１月'!J39)</f>
      </c>
      <c r="K39" s="28">
        <f t="shared" si="3"/>
        <v>0</v>
      </c>
    </row>
    <row r="40" spans="1:11" ht="13.5">
      <c r="A40" s="15"/>
      <c r="B40" s="10"/>
      <c r="C40" s="22" t="s">
        <v>33</v>
      </c>
      <c r="D40" s="11"/>
      <c r="E40" s="12"/>
      <c r="F40" s="13"/>
      <c r="G40" s="13"/>
      <c r="H40" s="14">
        <f t="shared" si="1"/>
      </c>
      <c r="J40" s="27">
        <f>IF('１月'!J40="","",'１月'!J40)</f>
      </c>
      <c r="K40" s="28">
        <f t="shared" si="3"/>
        <v>0</v>
      </c>
    </row>
    <row r="41" spans="1:11" ht="13.5">
      <c r="A41" s="15"/>
      <c r="B41" s="10"/>
      <c r="C41" s="22" t="s">
        <v>33</v>
      </c>
      <c r="D41" s="11"/>
      <c r="E41" s="12"/>
      <c r="F41" s="13"/>
      <c r="G41" s="13"/>
      <c r="H41" s="14">
        <f t="shared" si="1"/>
      </c>
      <c r="J41" s="27">
        <f>IF('１月'!J41="","",'１月'!J41)</f>
      </c>
      <c r="K41" s="28">
        <f t="shared" si="3"/>
        <v>0</v>
      </c>
    </row>
    <row r="42" spans="1:11" ht="13.5">
      <c r="A42" s="15"/>
      <c r="B42" s="10"/>
      <c r="C42" s="22" t="s">
        <v>33</v>
      </c>
      <c r="D42" s="11"/>
      <c r="E42" s="12"/>
      <c r="F42" s="13"/>
      <c r="G42" s="13"/>
      <c r="H42" s="14">
        <f t="shared" si="1"/>
      </c>
      <c r="J42" s="27">
        <f>IF('１月'!J42="","",'１月'!J42)</f>
      </c>
      <c r="K42" s="28">
        <f t="shared" si="3"/>
        <v>0</v>
      </c>
    </row>
    <row r="43" spans="1:11" ht="13.5">
      <c r="A43" s="15"/>
      <c r="B43" s="10"/>
      <c r="C43" s="22" t="s">
        <v>33</v>
      </c>
      <c r="D43" s="11"/>
      <c r="E43" s="12"/>
      <c r="F43" s="13"/>
      <c r="G43" s="13"/>
      <c r="H43" s="14">
        <f t="shared" si="1"/>
      </c>
      <c r="J43" s="27">
        <f>IF('１月'!J43="","",'１月'!J43)</f>
      </c>
      <c r="K43" s="28">
        <f t="shared" si="3"/>
        <v>0</v>
      </c>
    </row>
    <row r="44" spans="1:11" ht="13.5">
      <c r="A44" s="15"/>
      <c r="B44" s="10"/>
      <c r="C44" s="22" t="s">
        <v>33</v>
      </c>
      <c r="D44" s="11"/>
      <c r="E44" s="12"/>
      <c r="F44" s="13"/>
      <c r="G44" s="13"/>
      <c r="H44" s="14">
        <f t="shared" si="1"/>
      </c>
      <c r="J44" s="27">
        <f>IF('１月'!J44="","",'１月'!J44)</f>
      </c>
      <c r="K44" s="28">
        <f t="shared" si="3"/>
        <v>0</v>
      </c>
    </row>
    <row r="45" spans="1:11" ht="13.5">
      <c r="A45" s="15"/>
      <c r="B45" s="10"/>
      <c r="C45" s="22" t="s">
        <v>33</v>
      </c>
      <c r="D45" s="11"/>
      <c r="E45" s="12"/>
      <c r="F45" s="13"/>
      <c r="G45" s="13"/>
      <c r="H45" s="14">
        <f t="shared" si="1"/>
      </c>
      <c r="J45" s="27">
        <f>IF('１月'!J45="","",'１月'!J45)</f>
      </c>
      <c r="K45" s="28">
        <f t="shared" si="3"/>
        <v>0</v>
      </c>
    </row>
    <row r="46" spans="1:11" ht="13.5">
      <c r="A46" s="15"/>
      <c r="B46" s="10"/>
      <c r="C46" s="22" t="s">
        <v>33</v>
      </c>
      <c r="D46" s="11"/>
      <c r="E46" s="12"/>
      <c r="F46" s="13"/>
      <c r="G46" s="13"/>
      <c r="H46" s="14">
        <f t="shared" si="1"/>
      </c>
      <c r="J46" s="27">
        <f>IF('１月'!J46="","",'１月'!J46)</f>
      </c>
      <c r="K46" s="28">
        <f t="shared" si="3"/>
        <v>0</v>
      </c>
    </row>
    <row r="47" spans="1:8" ht="13.5">
      <c r="A47" s="15"/>
      <c r="B47" s="10"/>
      <c r="C47" s="22" t="s">
        <v>33</v>
      </c>
      <c r="D47" s="11"/>
      <c r="E47" s="12"/>
      <c r="F47" s="13"/>
      <c r="G47" s="13"/>
      <c r="H47" s="14">
        <f t="shared" si="1"/>
      </c>
    </row>
    <row r="48" spans="1:8" ht="13.5">
      <c r="A48" s="15"/>
      <c r="B48" s="10"/>
      <c r="C48" s="22" t="s">
        <v>33</v>
      </c>
      <c r="D48" s="11"/>
      <c r="E48" s="12"/>
      <c r="F48" s="13"/>
      <c r="G48" s="13"/>
      <c r="H48" s="14">
        <f t="shared" si="1"/>
      </c>
    </row>
    <row r="49" spans="1:8" ht="13.5">
      <c r="A49" s="15"/>
      <c r="B49" s="10"/>
      <c r="C49" s="22" t="s">
        <v>33</v>
      </c>
      <c r="D49" s="11"/>
      <c r="E49" s="12"/>
      <c r="F49" s="13"/>
      <c r="G49" s="13"/>
      <c r="H49" s="14">
        <f t="shared" si="1"/>
      </c>
    </row>
    <row r="50" spans="1:8" ht="13.5">
      <c r="A50" s="15"/>
      <c r="B50" s="10"/>
      <c r="C50" s="22" t="s">
        <v>33</v>
      </c>
      <c r="D50" s="11"/>
      <c r="E50" s="12"/>
      <c r="F50" s="13"/>
      <c r="G50" s="13"/>
      <c r="H50" s="14">
        <f t="shared" si="1"/>
      </c>
    </row>
    <row r="51" spans="1:8" ht="13.5">
      <c r="A51" s="15"/>
      <c r="B51" s="10"/>
      <c r="C51" s="22" t="s">
        <v>33</v>
      </c>
      <c r="D51" s="11"/>
      <c r="E51" s="12"/>
      <c r="F51" s="13"/>
      <c r="G51" s="13"/>
      <c r="H51" s="14">
        <f t="shared" si="1"/>
      </c>
    </row>
    <row r="52" spans="1:8" ht="13.5">
      <c r="A52" s="15"/>
      <c r="B52" s="10"/>
      <c r="C52" s="22" t="s">
        <v>33</v>
      </c>
      <c r="D52" s="11"/>
      <c r="E52" s="12"/>
      <c r="F52" s="13"/>
      <c r="G52" s="13"/>
      <c r="H52" s="14">
        <f t="shared" si="1"/>
      </c>
    </row>
    <row r="53" spans="1:8" ht="13.5">
      <c r="A53" s="15"/>
      <c r="B53" s="10"/>
      <c r="C53" s="22" t="s">
        <v>33</v>
      </c>
      <c r="D53" s="11"/>
      <c r="E53" s="12"/>
      <c r="F53" s="13"/>
      <c r="G53" s="13"/>
      <c r="H53" s="14">
        <f t="shared" si="1"/>
      </c>
    </row>
    <row r="54" spans="1:8" ht="13.5">
      <c r="A54" s="15"/>
      <c r="B54" s="10"/>
      <c r="C54" s="22" t="s">
        <v>33</v>
      </c>
      <c r="D54" s="11"/>
      <c r="E54" s="12"/>
      <c r="F54" s="13"/>
      <c r="G54" s="13"/>
      <c r="H54" s="14">
        <f t="shared" si="1"/>
      </c>
    </row>
    <row r="55" spans="1:8" ht="13.5">
      <c r="A55" s="15"/>
      <c r="B55" s="10"/>
      <c r="C55" s="22" t="s">
        <v>33</v>
      </c>
      <c r="D55" s="11"/>
      <c r="E55" s="12"/>
      <c r="F55" s="13"/>
      <c r="G55" s="13"/>
      <c r="H55" s="14">
        <f t="shared" si="1"/>
      </c>
    </row>
    <row r="56" spans="1:8" ht="13.5">
      <c r="A56" s="15"/>
      <c r="B56" s="10"/>
      <c r="C56" s="22" t="s">
        <v>33</v>
      </c>
      <c r="D56" s="11"/>
      <c r="E56" s="12"/>
      <c r="F56" s="13"/>
      <c r="G56" s="13"/>
      <c r="H56" s="14">
        <f t="shared" si="1"/>
      </c>
    </row>
    <row r="57" spans="1:8" ht="13.5">
      <c r="A57" s="15"/>
      <c r="B57" s="10"/>
      <c r="C57" s="22" t="s">
        <v>33</v>
      </c>
      <c r="D57" s="11"/>
      <c r="E57" s="12"/>
      <c r="F57" s="13"/>
      <c r="G57" s="13"/>
      <c r="H57" s="14">
        <f t="shared" si="1"/>
      </c>
    </row>
    <row r="58" spans="1:8" ht="13.5">
      <c r="A58" s="15"/>
      <c r="B58" s="10"/>
      <c r="C58" s="22" t="s">
        <v>33</v>
      </c>
      <c r="D58" s="11"/>
      <c r="E58" s="12"/>
      <c r="F58" s="13"/>
      <c r="G58" s="13"/>
      <c r="H58" s="14">
        <f t="shared" si="1"/>
      </c>
    </row>
    <row r="59" spans="1:8" ht="13.5">
      <c r="A59" s="15"/>
      <c r="B59" s="10"/>
      <c r="C59" s="22" t="s">
        <v>33</v>
      </c>
      <c r="D59" s="11"/>
      <c r="E59" s="12"/>
      <c r="F59" s="13"/>
      <c r="G59" s="13"/>
      <c r="H59" s="14">
        <f t="shared" si="1"/>
      </c>
    </row>
    <row r="60" spans="1:8" ht="13.5">
      <c r="A60" s="15"/>
      <c r="B60" s="10"/>
      <c r="C60" s="22" t="s">
        <v>33</v>
      </c>
      <c r="D60" s="11"/>
      <c r="E60" s="12"/>
      <c r="F60" s="13"/>
      <c r="G60" s="13"/>
      <c r="H60" s="14">
        <f t="shared" si="1"/>
      </c>
    </row>
    <row r="61" spans="1:8" ht="13.5">
      <c r="A61" s="15"/>
      <c r="B61" s="10"/>
      <c r="C61" s="22" t="s">
        <v>33</v>
      </c>
      <c r="D61" s="11"/>
      <c r="E61" s="12"/>
      <c r="F61" s="13"/>
      <c r="G61" s="13"/>
      <c r="H61" s="14">
        <f t="shared" si="1"/>
      </c>
    </row>
    <row r="62" spans="1:8" ht="13.5">
      <c r="A62" s="15"/>
      <c r="B62" s="10"/>
      <c r="C62" s="22" t="s">
        <v>33</v>
      </c>
      <c r="D62" s="11"/>
      <c r="E62" s="12"/>
      <c r="F62" s="13"/>
      <c r="G62" s="13"/>
      <c r="H62" s="14">
        <f t="shared" si="1"/>
      </c>
    </row>
    <row r="63" spans="1:8" ht="13.5">
      <c r="A63" s="15"/>
      <c r="B63" s="10"/>
      <c r="C63" s="22" t="s">
        <v>33</v>
      </c>
      <c r="D63" s="11"/>
      <c r="E63" s="12"/>
      <c r="F63" s="13"/>
      <c r="G63" s="13"/>
      <c r="H63" s="14">
        <f t="shared" si="1"/>
      </c>
    </row>
    <row r="64" spans="1:8" ht="13.5">
      <c r="A64" s="15"/>
      <c r="B64" s="10"/>
      <c r="C64" s="22" t="s">
        <v>33</v>
      </c>
      <c r="D64" s="11"/>
      <c r="E64" s="12"/>
      <c r="F64" s="13"/>
      <c r="G64" s="13"/>
      <c r="H64" s="14">
        <f t="shared" si="1"/>
      </c>
    </row>
    <row r="65" spans="1:8" ht="13.5">
      <c r="A65" s="15"/>
      <c r="B65" s="10"/>
      <c r="C65" s="22" t="s">
        <v>33</v>
      </c>
      <c r="D65" s="11"/>
      <c r="E65" s="12"/>
      <c r="F65" s="13"/>
      <c r="G65" s="13"/>
      <c r="H65" s="14">
        <f t="shared" si="1"/>
      </c>
    </row>
    <row r="66" spans="1:8" ht="13.5">
      <c r="A66" s="15"/>
      <c r="B66" s="10"/>
      <c r="C66" s="22" t="s">
        <v>33</v>
      </c>
      <c r="D66" s="11"/>
      <c r="E66" s="12"/>
      <c r="F66" s="13"/>
      <c r="G66" s="13"/>
      <c r="H66" s="14">
        <f t="shared" si="1"/>
      </c>
    </row>
    <row r="67" spans="1:8" ht="13.5">
      <c r="A67" s="15"/>
      <c r="B67" s="10"/>
      <c r="C67" s="22" t="s">
        <v>33</v>
      </c>
      <c r="D67" s="11"/>
      <c r="E67" s="12"/>
      <c r="F67" s="13"/>
      <c r="G67" s="13"/>
      <c r="H67" s="14">
        <f t="shared" si="1"/>
      </c>
    </row>
    <row r="68" spans="1:8" ht="13.5">
      <c r="A68" s="15"/>
      <c r="B68" s="10"/>
      <c r="C68" s="22" t="s">
        <v>33</v>
      </c>
      <c r="D68" s="11"/>
      <c r="E68" s="12"/>
      <c r="F68" s="13"/>
      <c r="G68" s="13"/>
      <c r="H68" s="14">
        <f t="shared" si="1"/>
      </c>
    </row>
    <row r="69" spans="1:8" ht="13.5">
      <c r="A69" s="15"/>
      <c r="B69" s="10"/>
      <c r="C69" s="22" t="s">
        <v>33</v>
      </c>
      <c r="D69" s="11"/>
      <c r="E69" s="12"/>
      <c r="F69" s="13"/>
      <c r="G69" s="13"/>
      <c r="H69" s="14">
        <f t="shared" si="1"/>
      </c>
    </row>
    <row r="70" spans="1:8" ht="13.5">
      <c r="A70" s="15"/>
      <c r="B70" s="10"/>
      <c r="C70" s="22" t="s">
        <v>33</v>
      </c>
      <c r="D70" s="11"/>
      <c r="E70" s="12"/>
      <c r="F70" s="13"/>
      <c r="G70" s="13"/>
      <c r="H70" s="14">
        <f aca="true" t="shared" si="4" ref="H70:H91">IF(OR(H69="",AND(F70="",G70="")),"",H69+F70-G70)</f>
      </c>
    </row>
    <row r="71" spans="1:8" ht="13.5">
      <c r="A71" s="15"/>
      <c r="B71" s="10"/>
      <c r="C71" s="22" t="s">
        <v>33</v>
      </c>
      <c r="D71" s="11"/>
      <c r="E71" s="12"/>
      <c r="F71" s="13"/>
      <c r="G71" s="13"/>
      <c r="H71" s="14">
        <f t="shared" si="4"/>
      </c>
    </row>
    <row r="72" spans="1:8" ht="13.5">
      <c r="A72" s="15"/>
      <c r="B72" s="10"/>
      <c r="C72" s="22" t="s">
        <v>33</v>
      </c>
      <c r="D72" s="11"/>
      <c r="E72" s="12"/>
      <c r="F72" s="13"/>
      <c r="G72" s="13"/>
      <c r="H72" s="14">
        <f t="shared" si="4"/>
      </c>
    </row>
    <row r="73" spans="1:8" ht="13.5">
      <c r="A73" s="15"/>
      <c r="B73" s="10"/>
      <c r="C73" s="22" t="s">
        <v>33</v>
      </c>
      <c r="D73" s="11"/>
      <c r="E73" s="12"/>
      <c r="F73" s="13"/>
      <c r="G73" s="13"/>
      <c r="H73" s="14">
        <f t="shared" si="4"/>
      </c>
    </row>
    <row r="74" spans="1:8" ht="13.5">
      <c r="A74" s="15"/>
      <c r="B74" s="10"/>
      <c r="C74" s="22" t="s">
        <v>33</v>
      </c>
      <c r="D74" s="11"/>
      <c r="E74" s="12"/>
      <c r="F74" s="13"/>
      <c r="G74" s="13"/>
      <c r="H74" s="14">
        <f t="shared" si="4"/>
      </c>
    </row>
    <row r="75" spans="1:8" ht="13.5">
      <c r="A75" s="15"/>
      <c r="B75" s="10"/>
      <c r="C75" s="22" t="s">
        <v>33</v>
      </c>
      <c r="D75" s="11"/>
      <c r="E75" s="12"/>
      <c r="F75" s="13"/>
      <c r="G75" s="13"/>
      <c r="H75" s="14">
        <f t="shared" si="4"/>
      </c>
    </row>
    <row r="76" spans="1:8" ht="13.5">
      <c r="A76" s="15"/>
      <c r="B76" s="10"/>
      <c r="C76" s="22" t="s">
        <v>33</v>
      </c>
      <c r="D76" s="11"/>
      <c r="E76" s="12"/>
      <c r="F76" s="13"/>
      <c r="G76" s="13"/>
      <c r="H76" s="14">
        <f t="shared" si="4"/>
      </c>
    </row>
    <row r="77" spans="1:8" ht="13.5">
      <c r="A77" s="15"/>
      <c r="B77" s="10"/>
      <c r="C77" s="22" t="s">
        <v>33</v>
      </c>
      <c r="D77" s="11"/>
      <c r="E77" s="12"/>
      <c r="F77" s="13"/>
      <c r="G77" s="13"/>
      <c r="H77" s="14">
        <f t="shared" si="4"/>
      </c>
    </row>
    <row r="78" spans="1:8" ht="13.5">
      <c r="A78" s="15"/>
      <c r="B78" s="10"/>
      <c r="C78" s="22" t="s">
        <v>33</v>
      </c>
      <c r="D78" s="11"/>
      <c r="E78" s="12"/>
      <c r="F78" s="13"/>
      <c r="G78" s="13"/>
      <c r="H78" s="14">
        <f t="shared" si="4"/>
      </c>
    </row>
    <row r="79" spans="1:8" ht="13.5">
      <c r="A79" s="15"/>
      <c r="B79" s="10"/>
      <c r="C79" s="22" t="s">
        <v>33</v>
      </c>
      <c r="D79" s="11"/>
      <c r="E79" s="12"/>
      <c r="F79" s="13"/>
      <c r="G79" s="13"/>
      <c r="H79" s="14">
        <f t="shared" si="4"/>
      </c>
    </row>
    <row r="80" spans="1:8" ht="13.5">
      <c r="A80" s="15"/>
      <c r="B80" s="10"/>
      <c r="C80" s="22" t="s">
        <v>33</v>
      </c>
      <c r="D80" s="11"/>
      <c r="E80" s="12"/>
      <c r="F80" s="13"/>
      <c r="G80" s="13"/>
      <c r="H80" s="14">
        <f t="shared" si="4"/>
      </c>
    </row>
    <row r="81" spans="1:8" ht="13.5">
      <c r="A81" s="15"/>
      <c r="B81" s="10"/>
      <c r="C81" s="22" t="s">
        <v>33</v>
      </c>
      <c r="D81" s="11"/>
      <c r="E81" s="12"/>
      <c r="F81" s="13"/>
      <c r="G81" s="13"/>
      <c r="H81" s="14">
        <f t="shared" si="4"/>
      </c>
    </row>
    <row r="82" spans="1:8" ht="13.5">
      <c r="A82" s="15"/>
      <c r="B82" s="10"/>
      <c r="C82" s="22" t="s">
        <v>33</v>
      </c>
      <c r="D82" s="11"/>
      <c r="E82" s="12"/>
      <c r="F82" s="13"/>
      <c r="G82" s="13"/>
      <c r="H82" s="14">
        <f t="shared" si="4"/>
      </c>
    </row>
    <row r="83" spans="1:8" ht="13.5">
      <c r="A83" s="15"/>
      <c r="B83" s="10"/>
      <c r="C83" s="22" t="s">
        <v>33</v>
      </c>
      <c r="D83" s="11"/>
      <c r="E83" s="12"/>
      <c r="F83" s="13"/>
      <c r="G83" s="13"/>
      <c r="H83" s="14">
        <f t="shared" si="4"/>
      </c>
    </row>
    <row r="84" spans="1:8" ht="13.5">
      <c r="A84" s="15"/>
      <c r="B84" s="10"/>
      <c r="C84" s="22" t="s">
        <v>33</v>
      </c>
      <c r="D84" s="11"/>
      <c r="E84" s="12"/>
      <c r="F84" s="13"/>
      <c r="G84" s="13"/>
      <c r="H84" s="14">
        <f t="shared" si="4"/>
      </c>
    </row>
    <row r="85" spans="1:8" ht="13.5">
      <c r="A85" s="15"/>
      <c r="B85" s="10"/>
      <c r="C85" s="22" t="s">
        <v>33</v>
      </c>
      <c r="D85" s="11"/>
      <c r="E85" s="12"/>
      <c r="F85" s="13"/>
      <c r="G85" s="13"/>
      <c r="H85" s="14">
        <f t="shared" si="4"/>
      </c>
    </row>
    <row r="86" spans="1:8" ht="13.5">
      <c r="A86" s="15"/>
      <c r="B86" s="10"/>
      <c r="C86" s="22" t="s">
        <v>33</v>
      </c>
      <c r="D86" s="11"/>
      <c r="E86" s="12"/>
      <c r="F86" s="13"/>
      <c r="G86" s="13"/>
      <c r="H86" s="14">
        <f t="shared" si="4"/>
      </c>
    </row>
    <row r="87" spans="1:8" ht="13.5">
      <c r="A87" s="15"/>
      <c r="B87" s="10"/>
      <c r="C87" s="22" t="s">
        <v>33</v>
      </c>
      <c r="D87" s="11"/>
      <c r="E87" s="12"/>
      <c r="F87" s="13"/>
      <c r="G87" s="13"/>
      <c r="H87" s="14">
        <f t="shared" si="4"/>
      </c>
    </row>
    <row r="88" spans="1:8" ht="13.5">
      <c r="A88" s="15"/>
      <c r="B88" s="10"/>
      <c r="C88" s="22" t="s">
        <v>33</v>
      </c>
      <c r="D88" s="11"/>
      <c r="E88" s="12"/>
      <c r="F88" s="13"/>
      <c r="G88" s="13"/>
      <c r="H88" s="14">
        <f t="shared" si="4"/>
      </c>
    </row>
    <row r="89" spans="1:8" ht="13.5">
      <c r="A89" s="15"/>
      <c r="B89" s="10"/>
      <c r="C89" s="22" t="s">
        <v>33</v>
      </c>
      <c r="D89" s="11"/>
      <c r="E89" s="12"/>
      <c r="F89" s="13"/>
      <c r="G89" s="13"/>
      <c r="H89" s="14">
        <f t="shared" si="4"/>
      </c>
    </row>
    <row r="90" spans="1:8" ht="13.5">
      <c r="A90" s="15"/>
      <c r="B90" s="10"/>
      <c r="C90" s="22" t="s">
        <v>33</v>
      </c>
      <c r="D90" s="11"/>
      <c r="E90" s="12"/>
      <c r="F90" s="13"/>
      <c r="G90" s="13"/>
      <c r="H90" s="14">
        <f t="shared" si="4"/>
      </c>
    </row>
    <row r="91" spans="1:8" ht="14.25" thickBot="1">
      <c r="A91" s="15"/>
      <c r="B91" s="10"/>
      <c r="C91" s="22" t="s">
        <v>33</v>
      </c>
      <c r="D91" s="11"/>
      <c r="E91" s="12"/>
      <c r="F91" s="13"/>
      <c r="G91" s="13"/>
      <c r="H91" s="14">
        <f t="shared" si="4"/>
      </c>
    </row>
    <row r="92" spans="1:8" ht="14.25" thickBot="1">
      <c r="A92" s="15"/>
      <c r="B92" s="17"/>
      <c r="C92" s="18"/>
      <c r="D92" s="18"/>
      <c r="E92" s="19" t="s">
        <v>8</v>
      </c>
      <c r="F92" s="20"/>
      <c r="G92" s="20"/>
      <c r="H92" s="21">
        <f>IF(AND(SUM(F5:F91)=0,SUM(G5:G91)=0),"",SUM(F5:F91)-SUM(G5:G91)+H4)</f>
      </c>
    </row>
  </sheetData>
  <sheetProtection/>
  <mergeCells count="1">
    <mergeCell ref="B1:C1"/>
  </mergeCells>
  <dataValidations count="2">
    <dataValidation type="list" allowBlank="1" showInputMessage="1" showErrorMessage="1" sqref="C5:C91">
      <formula1>$J$3:$J$32</formula1>
    </dataValidation>
    <dataValidation type="list" allowBlank="1" showInputMessage="1" showErrorMessage="1" sqref="D5:D91">
      <formula1>$J$37:$J$46</formula1>
    </dataValidation>
  </dataValidations>
  <printOptions/>
  <pageMargins left="0.75" right="0.75" top="1" bottom="1" header="0.512" footer="0.512"/>
  <pageSetup orientation="portrait" paperSize="9"/>
  <ignoredErrors>
    <ignoredError sqref="K5"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中尾　徹</dc:creator>
  <cp:keywords/>
  <dc:description/>
  <cp:lastModifiedBy>user20</cp:lastModifiedBy>
  <dcterms:created xsi:type="dcterms:W3CDTF">2003-04-10T00:42:27Z</dcterms:created>
  <dcterms:modified xsi:type="dcterms:W3CDTF">2022-06-22T00:37:07Z</dcterms:modified>
  <cp:category/>
  <cp:version/>
  <cp:contentType/>
  <cp:contentStatus/>
</cp:coreProperties>
</file>